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dnosta\Desktop\Zverejnenie dokumentov chat bot\"/>
    </mc:Choice>
  </mc:AlternateContent>
  <xr:revisionPtr revIDLastSave="0" documentId="8_{78E92F07-395A-4B79-B172-05659FF5306C}" xr6:coauthVersionLast="45" xr6:coauthVersionMax="45" xr10:uidLastSave="{00000000-0000-0000-0000-000000000000}"/>
  <bookViews>
    <workbookView xWindow="-120" yWindow="-120" windowWidth="29040" windowHeight="15840" tabRatio="859" activeTab="3" xr2:uid="{00000000-000D-0000-FFFF-FFFF00000000}"/>
  </bookViews>
  <sheets>
    <sheet name="Úvod" sheetId="5" r:id="rId1"/>
    <sheet name="Zoznam hárkov" sheetId="25" r:id="rId2"/>
    <sheet name="Sumarizácia" sheetId="20" state="hidden" r:id="rId3"/>
    <sheet name="TCO" sheetId="11" r:id="rId4"/>
    <sheet name="TCO AS IS - SW" sheetId="17" r:id="rId5"/>
    <sheet name="TCO AS IS - HW" sheetId="18" r:id="rId6"/>
    <sheet name="TCO TO BE- SW" sheetId="9" r:id="rId7"/>
    <sheet name="TCO TO BE - HW" sheetId="10" r:id="rId8"/>
    <sheet name="Rozpočet - vývoj Aplikácií" sheetId="19" r:id="rId9"/>
    <sheet name="Príloha limity" sheetId="28" r:id="rId10"/>
    <sheet name="Nepriame výdavky" sheetId="29" r:id="rId11"/>
    <sheet name="Rozpočet - HW a licencie" sheetId="27" r:id="rId12"/>
    <sheet name="Prieskum trhu - komerčný cloud" sheetId="30" r:id="rId13"/>
  </sheets>
  <definedNames>
    <definedName name="_xlnm._FilterDatabase" localSheetId="8" hidden="1">'Rozpočet - vývoj Aplikácií'!$B$1:$B$161</definedName>
    <definedName name="_xlnm.Print_Area" localSheetId="11">'Rozpočet - HW a licencie'!$A$1:$I$18</definedName>
    <definedName name="_xlnm.Print_Area" localSheetId="8">'Rozpočet - vývoj Aplikácií'!$A$2:$AN$127</definedName>
    <definedName name="_xlnm.Print_Area" localSheetId="3">TCO!$A$1:$P$72</definedName>
    <definedName name="_xlnm.Print_Area" localSheetId="7">'TCO TO BE - HW'!$A$1:$N$84</definedName>
    <definedName name="_xlnm.Print_Area" localSheetId="6">'TCO TO BE- SW'!$A$1:$L$170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2" i="9" l="1"/>
  <c r="J111" i="9"/>
  <c r="L111" i="9"/>
  <c r="L110" i="9"/>
  <c r="L112" i="9" s="1"/>
  <c r="J118" i="9" s="1"/>
  <c r="J113" i="9" l="1"/>
  <c r="J115" i="9"/>
  <c r="J116" i="9"/>
  <c r="J114" i="9"/>
  <c r="J117" i="9"/>
  <c r="J110" i="9"/>
  <c r="G10" i="29" l="1"/>
  <c r="D10" i="29"/>
  <c r="D23" i="29"/>
  <c r="G23" i="29" s="1"/>
  <c r="D22" i="29"/>
  <c r="G22" i="29" s="1"/>
  <c r="D21" i="29"/>
  <c r="G21" i="29" s="1"/>
  <c r="G24" i="29" s="1"/>
  <c r="F76" i="10"/>
  <c r="F25" i="10"/>
  <c r="F77" i="10"/>
  <c r="F78" i="10"/>
  <c r="F79" i="10"/>
  <c r="F80" i="10"/>
  <c r="F81" i="10"/>
  <c r="F82" i="10"/>
  <c r="F83" i="10"/>
  <c r="F84" i="10"/>
  <c r="E10" i="27" l="1"/>
  <c r="F16" i="27"/>
  <c r="E12" i="27"/>
  <c r="F12" i="27" s="1"/>
  <c r="E13" i="27"/>
  <c r="F13" i="27" s="1"/>
  <c r="E14" i="27"/>
  <c r="F14" i="27" s="1"/>
  <c r="E15" i="27"/>
  <c r="F15" i="27" s="1"/>
  <c r="E16" i="27"/>
  <c r="E17" i="27"/>
  <c r="F17" i="27" s="1"/>
  <c r="E11" i="27"/>
  <c r="F11" i="27" s="1"/>
  <c r="U12" i="30"/>
  <c r="U4" i="30"/>
  <c r="U5" i="30"/>
  <c r="U6" i="30"/>
  <c r="U7" i="30"/>
  <c r="U8" i="30"/>
  <c r="U9" i="30"/>
  <c r="U10" i="30"/>
  <c r="U3" i="30"/>
  <c r="P12" i="30"/>
  <c r="P4" i="30"/>
  <c r="P5" i="30"/>
  <c r="P6" i="30"/>
  <c r="P7" i="30"/>
  <c r="P8" i="30"/>
  <c r="P9" i="30"/>
  <c r="P10" i="30"/>
  <c r="P3" i="30"/>
  <c r="K12" i="30"/>
  <c r="O12" i="30"/>
  <c r="N12" i="30"/>
  <c r="I12" i="30"/>
  <c r="J12" i="30"/>
  <c r="K4" i="30"/>
  <c r="K5" i="30"/>
  <c r="K6" i="30"/>
  <c r="K7" i="30"/>
  <c r="K8" i="30"/>
  <c r="K9" i="30"/>
  <c r="K10" i="30"/>
  <c r="K3" i="30"/>
  <c r="S12" i="30"/>
  <c r="N11" i="30"/>
  <c r="I11" i="30"/>
  <c r="E11" i="30"/>
  <c r="D11" i="30"/>
  <c r="C11" i="30"/>
  <c r="B11" i="30"/>
  <c r="T10" i="30"/>
  <c r="O10" i="30"/>
  <c r="J10" i="30"/>
  <c r="T9" i="30"/>
  <c r="O9" i="30"/>
  <c r="J9" i="30"/>
  <c r="T8" i="30"/>
  <c r="O8" i="30"/>
  <c r="J8" i="30"/>
  <c r="T7" i="30"/>
  <c r="O7" i="30"/>
  <c r="J7" i="30"/>
  <c r="T6" i="30"/>
  <c r="O6" i="30"/>
  <c r="J6" i="30"/>
  <c r="T5" i="30"/>
  <c r="O5" i="30"/>
  <c r="J5" i="30"/>
  <c r="T4" i="30"/>
  <c r="O4" i="30"/>
  <c r="J4" i="30"/>
  <c r="T3" i="30"/>
  <c r="T12" i="30" s="1"/>
  <c r="O3" i="30"/>
  <c r="J3" i="30"/>
  <c r="E18" i="27" l="1"/>
  <c r="F10" i="27"/>
  <c r="F18" i="27" s="1"/>
  <c r="J11" i="30"/>
  <c r="O11" i="30"/>
  <c r="F24" i="10" l="1"/>
  <c r="D6" i="29"/>
  <c r="G6" i="29" s="1"/>
  <c r="F38" i="28"/>
  <c r="D38" i="28"/>
  <c r="D5" i="29"/>
  <c r="G5" i="29" s="1"/>
  <c r="F37" i="28"/>
  <c r="D37" i="28"/>
  <c r="G12" i="29"/>
  <c r="G11" i="29"/>
  <c r="D9" i="29"/>
  <c r="G9" i="29" s="1"/>
  <c r="D8" i="29"/>
  <c r="G8" i="29" s="1"/>
  <c r="G15" i="29" l="1"/>
  <c r="J140" i="9" s="1"/>
  <c r="D36" i="28"/>
  <c r="F36" i="28" s="1"/>
  <c r="D7" i="29" s="1"/>
  <c r="G7" i="29" s="1"/>
  <c r="D35" i="28"/>
  <c r="F35" i="28" s="1"/>
  <c r="D4" i="29" s="1"/>
  <c r="G4" i="29" s="1"/>
  <c r="D34" i="28"/>
  <c r="F34" i="28" s="1"/>
  <c r="D33" i="28"/>
  <c r="F33" i="28" s="1"/>
  <c r="D32" i="28"/>
  <c r="F32" i="28" s="1"/>
  <c r="D31" i="28"/>
  <c r="F31" i="28" s="1"/>
  <c r="D30" i="28"/>
  <c r="F30" i="28" s="1"/>
  <c r="D29" i="28"/>
  <c r="F29" i="28" s="1"/>
  <c r="D3" i="29" s="1"/>
  <c r="G3" i="29" s="1"/>
  <c r="D23" i="28"/>
  <c r="E23" i="28" s="1"/>
  <c r="D22" i="28"/>
  <c r="E22" i="28" s="1"/>
  <c r="D21" i="28"/>
  <c r="E21" i="28" s="1"/>
  <c r="H27" i="9"/>
  <c r="G27" i="9"/>
  <c r="AX66" i="19"/>
  <c r="AX22" i="19"/>
  <c r="G14" i="29" l="1"/>
  <c r="AR106" i="19"/>
  <c r="AR63" i="19"/>
  <c r="AT66" i="19"/>
  <c r="AT67" i="19"/>
  <c r="AT68" i="19"/>
  <c r="AT69" i="19"/>
  <c r="AT70" i="19"/>
  <c r="AT71" i="19"/>
  <c r="AT72" i="19"/>
  <c r="AT73" i="19"/>
  <c r="AT74" i="19"/>
  <c r="AT75" i="19"/>
  <c r="AT76" i="19"/>
  <c r="AT77" i="19"/>
  <c r="AT78" i="19"/>
  <c r="AT79" i="19"/>
  <c r="AT80" i="19"/>
  <c r="AT81" i="19"/>
  <c r="AT82" i="19"/>
  <c r="AT83" i="19"/>
  <c r="AT84" i="19"/>
  <c r="AT85" i="19"/>
  <c r="AT86" i="19"/>
  <c r="AT87" i="19"/>
  <c r="AT88" i="19"/>
  <c r="AT89" i="19"/>
  <c r="AT90" i="19"/>
  <c r="AT91" i="19"/>
  <c r="AT92" i="19"/>
  <c r="AT93" i="19"/>
  <c r="AT94" i="19"/>
  <c r="AT95" i="19"/>
  <c r="AT96" i="19"/>
  <c r="AT97" i="19"/>
  <c r="AT98" i="19"/>
  <c r="AT99" i="19"/>
  <c r="AT100" i="19"/>
  <c r="AT101" i="19"/>
  <c r="AT102" i="19"/>
  <c r="AT103" i="19"/>
  <c r="AT104" i="19"/>
  <c r="AT105" i="19"/>
  <c r="AT106" i="19"/>
  <c r="AT107" i="19"/>
  <c r="AT108" i="19"/>
  <c r="AT109" i="19"/>
  <c r="AS67" i="19"/>
  <c r="AS68" i="19"/>
  <c r="AS69" i="19"/>
  <c r="AS70" i="19"/>
  <c r="AS71" i="19"/>
  <c r="AS72" i="19"/>
  <c r="AS73" i="19"/>
  <c r="AS74" i="19"/>
  <c r="AS75" i="19"/>
  <c r="AS76" i="19"/>
  <c r="AS77" i="19"/>
  <c r="AS78" i="19"/>
  <c r="AS79" i="19"/>
  <c r="AS80" i="19"/>
  <c r="AS81" i="19"/>
  <c r="AS82" i="19"/>
  <c r="AS83" i="19"/>
  <c r="AS84" i="19"/>
  <c r="AS85" i="19"/>
  <c r="AS86" i="19"/>
  <c r="AS87" i="19"/>
  <c r="AS88" i="19"/>
  <c r="AS89" i="19"/>
  <c r="AS90" i="19"/>
  <c r="AS91" i="19"/>
  <c r="AS92" i="19"/>
  <c r="AS93" i="19"/>
  <c r="AS94" i="19"/>
  <c r="AS95" i="19"/>
  <c r="AS96" i="19"/>
  <c r="AS97" i="19"/>
  <c r="AS98" i="19"/>
  <c r="AS99" i="19"/>
  <c r="AS100" i="19"/>
  <c r="AS101" i="19"/>
  <c r="AS102" i="19"/>
  <c r="AS103" i="19"/>
  <c r="AS104" i="19"/>
  <c r="AS105" i="19"/>
  <c r="AS106" i="19"/>
  <c r="AS107" i="19"/>
  <c r="AS108" i="19"/>
  <c r="AS109" i="19"/>
  <c r="AS66" i="19"/>
  <c r="AQ101" i="19"/>
  <c r="B168" i="19"/>
  <c r="B192" i="19"/>
  <c r="B167" i="19" s="1"/>
  <c r="B182" i="19"/>
  <c r="B166" i="19" s="1"/>
  <c r="AL98" i="19"/>
  <c r="AL96" i="19"/>
  <c r="AL95" i="19"/>
  <c r="AL93" i="19"/>
  <c r="AL92" i="19"/>
  <c r="AL91" i="19"/>
  <c r="AL88" i="19"/>
  <c r="AL87" i="19"/>
  <c r="AL86" i="19"/>
  <c r="AL84" i="19"/>
  <c r="AL83" i="19"/>
  <c r="AL82" i="19"/>
  <c r="AL79" i="19"/>
  <c r="AL78" i="19"/>
  <c r="AL76" i="19"/>
  <c r="AL73" i="19"/>
  <c r="AL72" i="19"/>
  <c r="AL70" i="19"/>
  <c r="AL68" i="19"/>
  <c r="AL67" i="19"/>
  <c r="AL54" i="19"/>
  <c r="AL52" i="19"/>
  <c r="AL51" i="19"/>
  <c r="AL49" i="19"/>
  <c r="AL48" i="19"/>
  <c r="AL47" i="19"/>
  <c r="AL44" i="19"/>
  <c r="AL43" i="19"/>
  <c r="AL42" i="19"/>
  <c r="AL40" i="19"/>
  <c r="AL39" i="19"/>
  <c r="AL38" i="19"/>
  <c r="AL35" i="19"/>
  <c r="AL34" i="19"/>
  <c r="AL32" i="19"/>
  <c r="AL29" i="19"/>
  <c r="AL28" i="19"/>
  <c r="AL26" i="19"/>
  <c r="AL24" i="19"/>
  <c r="AL23" i="19"/>
  <c r="AH66" i="19"/>
  <c r="AP66" i="19" s="1"/>
  <c r="AH67" i="19"/>
  <c r="AP67" i="19" s="1"/>
  <c r="AH68" i="19"/>
  <c r="AP68" i="19" s="1"/>
  <c r="AH69" i="19"/>
  <c r="AP69" i="19" s="1"/>
  <c r="AH70" i="19"/>
  <c r="AP70" i="19" s="1"/>
  <c r="AH71" i="19"/>
  <c r="AP71" i="19" s="1"/>
  <c r="AH72" i="19"/>
  <c r="AH73" i="19"/>
  <c r="AP73" i="19" s="1"/>
  <c r="AH74" i="19"/>
  <c r="AP74" i="19" s="1"/>
  <c r="AH75" i="19"/>
  <c r="AP75" i="19" s="1"/>
  <c r="AH76" i="19"/>
  <c r="AP76" i="19" s="1"/>
  <c r="AH77" i="19"/>
  <c r="AH78" i="19"/>
  <c r="AP78" i="19" s="1"/>
  <c r="AH79" i="19"/>
  <c r="AP79" i="19" s="1"/>
  <c r="AH80" i="19"/>
  <c r="AH81" i="19"/>
  <c r="AP81" i="19" s="1"/>
  <c r="AH82" i="19"/>
  <c r="AP82" i="19" s="1"/>
  <c r="AH83" i="19"/>
  <c r="AP83" i="19" s="1"/>
  <c r="AH84" i="19"/>
  <c r="AP84" i="19" s="1"/>
  <c r="AH85" i="19"/>
  <c r="AH86" i="19"/>
  <c r="AP86" i="19" s="1"/>
  <c r="AH87" i="19"/>
  <c r="AP87" i="19" s="1"/>
  <c r="AH88" i="19"/>
  <c r="AH89" i="19"/>
  <c r="AP89" i="19" s="1"/>
  <c r="AH90" i="19"/>
  <c r="AP90" i="19" s="1"/>
  <c r="AH91" i="19"/>
  <c r="AP91" i="19" s="1"/>
  <c r="AH92" i="19"/>
  <c r="AP92" i="19" s="1"/>
  <c r="AH93" i="19"/>
  <c r="AH94" i="19"/>
  <c r="AP94" i="19" s="1"/>
  <c r="AH95" i="19"/>
  <c r="AP95" i="19" s="1"/>
  <c r="AH96" i="19"/>
  <c r="AP96" i="19" s="1"/>
  <c r="AH97" i="19"/>
  <c r="AP97" i="19" s="1"/>
  <c r="AH98" i="19"/>
  <c r="AP98" i="19" s="1"/>
  <c r="AH99" i="19"/>
  <c r="AP99" i="19" s="1"/>
  <c r="AH100" i="19"/>
  <c r="AP100" i="19" s="1"/>
  <c r="AH101" i="19"/>
  <c r="AP101" i="19" s="1"/>
  <c r="AH102" i="19"/>
  <c r="AP102" i="19" s="1"/>
  <c r="AH103" i="19"/>
  <c r="AP103" i="19" s="1"/>
  <c r="AH104" i="19"/>
  <c r="AH105" i="19"/>
  <c r="AP105" i="19" s="1"/>
  <c r="AH106" i="19"/>
  <c r="AP106" i="19" s="1"/>
  <c r="AH107" i="19"/>
  <c r="AP107" i="19" s="1"/>
  <c r="AH108" i="19"/>
  <c r="AP108" i="19" s="1"/>
  <c r="AH109" i="19"/>
  <c r="AG66" i="19"/>
  <c r="AO66" i="19" s="1"/>
  <c r="AG67" i="19"/>
  <c r="AO67" i="19" s="1"/>
  <c r="AG68" i="19"/>
  <c r="AM68" i="19" s="1"/>
  <c r="AG69" i="19"/>
  <c r="AO69" i="19" s="1"/>
  <c r="AG70" i="19"/>
  <c r="AO70" i="19" s="1"/>
  <c r="AG71" i="19"/>
  <c r="AO71" i="19" s="1"/>
  <c r="AG72" i="19"/>
  <c r="AO72" i="19" s="1"/>
  <c r="AG73" i="19"/>
  <c r="AM73" i="19" s="1"/>
  <c r="AG74" i="19"/>
  <c r="AO74" i="19" s="1"/>
  <c r="AG75" i="19"/>
  <c r="AO75" i="19" s="1"/>
  <c r="AG76" i="19"/>
  <c r="AM76" i="19" s="1"/>
  <c r="AG77" i="19"/>
  <c r="AO77" i="19" s="1"/>
  <c r="AG78" i="19"/>
  <c r="AO78" i="19" s="1"/>
  <c r="AG79" i="19"/>
  <c r="AO79" i="19" s="1"/>
  <c r="AG80" i="19"/>
  <c r="AO80" i="19" s="1"/>
  <c r="AG81" i="19"/>
  <c r="AM81" i="19" s="1"/>
  <c r="AG82" i="19"/>
  <c r="AO82" i="19" s="1"/>
  <c r="AG83" i="19"/>
  <c r="AO83" i="19" s="1"/>
  <c r="AG84" i="19"/>
  <c r="AO84" i="19" s="1"/>
  <c r="AG85" i="19"/>
  <c r="AO85" i="19" s="1"/>
  <c r="AG86" i="19"/>
  <c r="AO86" i="19" s="1"/>
  <c r="AG87" i="19"/>
  <c r="AO87" i="19" s="1"/>
  <c r="AG88" i="19"/>
  <c r="AO88" i="19" s="1"/>
  <c r="AG89" i="19"/>
  <c r="AO89" i="19" s="1"/>
  <c r="AG90" i="19"/>
  <c r="AO90" i="19" s="1"/>
  <c r="AG91" i="19"/>
  <c r="AO91" i="19" s="1"/>
  <c r="AG92" i="19"/>
  <c r="AM92" i="19" s="1"/>
  <c r="AG93" i="19"/>
  <c r="AO93" i="19" s="1"/>
  <c r="AG94" i="19"/>
  <c r="AO94" i="19" s="1"/>
  <c r="AG95" i="19"/>
  <c r="AO95" i="19" s="1"/>
  <c r="AG96" i="19"/>
  <c r="AO96" i="19" s="1"/>
  <c r="AG97" i="19"/>
  <c r="AM97" i="19" s="1"/>
  <c r="AG98" i="19"/>
  <c r="AO98" i="19" s="1"/>
  <c r="AG99" i="19"/>
  <c r="AO99" i="19" s="1"/>
  <c r="AG100" i="19"/>
  <c r="AM100" i="19" s="1"/>
  <c r="AG101" i="19"/>
  <c r="AO101" i="19" s="1"/>
  <c r="AG102" i="19"/>
  <c r="AO102" i="19" s="1"/>
  <c r="AG103" i="19"/>
  <c r="AO103" i="19" s="1"/>
  <c r="AG104" i="19"/>
  <c r="AO104" i="19" s="1"/>
  <c r="AG105" i="19"/>
  <c r="AM105" i="19" s="1"/>
  <c r="AG106" i="19"/>
  <c r="AO106" i="19" s="1"/>
  <c r="AG107" i="19"/>
  <c r="AO107" i="19" s="1"/>
  <c r="AG108" i="19"/>
  <c r="AM108" i="19" s="1"/>
  <c r="AG109" i="19"/>
  <c r="AO109" i="19" s="1"/>
  <c r="J130" i="9" l="1"/>
  <c r="G16" i="29"/>
  <c r="B169" i="19"/>
  <c r="AN93" i="19"/>
  <c r="AN88" i="19"/>
  <c r="AN72" i="19"/>
  <c r="AO81" i="19"/>
  <c r="AM84" i="19"/>
  <c r="AN96" i="19"/>
  <c r="AO108" i="19"/>
  <c r="AO76" i="19"/>
  <c r="AP88" i="19"/>
  <c r="AM89" i="19"/>
  <c r="AP93" i="19"/>
  <c r="AO105" i="19"/>
  <c r="AO73" i="19"/>
  <c r="AP85" i="19"/>
  <c r="AM107" i="19"/>
  <c r="AO100" i="19"/>
  <c r="AO68" i="19"/>
  <c r="AP80" i="19"/>
  <c r="AO97" i="19"/>
  <c r="AP109" i="19"/>
  <c r="AP77" i="19"/>
  <c r="AO92" i="19"/>
  <c r="AP104" i="19"/>
  <c r="AP72" i="19"/>
  <c r="AM99" i="19"/>
  <c r="AM91" i="19"/>
  <c r="AM83" i="19"/>
  <c r="AM75" i="19"/>
  <c r="AM67" i="19"/>
  <c r="AN95" i="19"/>
  <c r="AN87" i="19"/>
  <c r="AN79" i="19"/>
  <c r="AM106" i="19"/>
  <c r="AM98" i="19"/>
  <c r="AM90" i="19"/>
  <c r="AM82" i="19"/>
  <c r="AM74" i="19"/>
  <c r="AM66" i="19"/>
  <c r="AN86" i="19"/>
  <c r="AN78" i="19"/>
  <c r="AN70" i="19"/>
  <c r="AM104" i="19"/>
  <c r="AM96" i="19"/>
  <c r="AM88" i="19"/>
  <c r="AM80" i="19"/>
  <c r="AM72" i="19"/>
  <c r="AN92" i="19"/>
  <c r="AN84" i="19"/>
  <c r="AN76" i="19"/>
  <c r="AN68" i="19"/>
  <c r="AM103" i="19"/>
  <c r="AM95" i="19"/>
  <c r="AM87" i="19"/>
  <c r="AM79" i="19"/>
  <c r="AM71" i="19"/>
  <c r="AN91" i="19"/>
  <c r="AN83" i="19"/>
  <c r="AN67" i="19"/>
  <c r="AM102" i="19"/>
  <c r="AM94" i="19"/>
  <c r="AM86" i="19"/>
  <c r="AM78" i="19"/>
  <c r="AM70" i="19"/>
  <c r="AN98" i="19"/>
  <c r="AN82" i="19"/>
  <c r="AN66" i="19"/>
  <c r="AM109" i="19"/>
  <c r="AM101" i="19"/>
  <c r="AM93" i="19"/>
  <c r="AM85" i="19"/>
  <c r="AM77" i="19"/>
  <c r="AM69" i="19"/>
  <c r="AN73" i="19"/>
  <c r="AQ110" i="19" l="1"/>
  <c r="AR110" i="19"/>
  <c r="AR101" i="19" l="1"/>
  <c r="AR96" i="19"/>
  <c r="AR71" i="19"/>
  <c r="AR91" i="19"/>
  <c r="AR86" i="19"/>
  <c r="AR81" i="19"/>
  <c r="AR76" i="19"/>
  <c r="AR105" i="19"/>
  <c r="AT7" i="19"/>
  <c r="AT8" i="19"/>
  <c r="AT9" i="19"/>
  <c r="AT10" i="19"/>
  <c r="AT11" i="19"/>
  <c r="AT12" i="19"/>
  <c r="AT13" i="19"/>
  <c r="AT14" i="19"/>
  <c r="AT15" i="19"/>
  <c r="AT16" i="19"/>
  <c r="AT17" i="19"/>
  <c r="AT18" i="19"/>
  <c r="AT19" i="19"/>
  <c r="AT20" i="19"/>
  <c r="AT21" i="19"/>
  <c r="AT22" i="19"/>
  <c r="AT23" i="19"/>
  <c r="AT24" i="19"/>
  <c r="AT25" i="19"/>
  <c r="AT26" i="19"/>
  <c r="AT27" i="19"/>
  <c r="AT28" i="19"/>
  <c r="AT29" i="19"/>
  <c r="AT30" i="19"/>
  <c r="AT31" i="19"/>
  <c r="AT32" i="19"/>
  <c r="AT33" i="19"/>
  <c r="AT34" i="19"/>
  <c r="AT35" i="19"/>
  <c r="AT36" i="19"/>
  <c r="AT37" i="19"/>
  <c r="AT38" i="19"/>
  <c r="AT39" i="19"/>
  <c r="AT40" i="19"/>
  <c r="AT41" i="19"/>
  <c r="AT42" i="19"/>
  <c r="AT43" i="19"/>
  <c r="AT44" i="19"/>
  <c r="AT45" i="19"/>
  <c r="AT46" i="19"/>
  <c r="AT47" i="19"/>
  <c r="AT48" i="19"/>
  <c r="AT49" i="19"/>
  <c r="AT50" i="19"/>
  <c r="AT51" i="19"/>
  <c r="AT52" i="19"/>
  <c r="AT53" i="19"/>
  <c r="AT54" i="19"/>
  <c r="AT55" i="19"/>
  <c r="AT56" i="19"/>
  <c r="AT57" i="19"/>
  <c r="AT58" i="19"/>
  <c r="AT59" i="19"/>
  <c r="AT60" i="19"/>
  <c r="AT61" i="19"/>
  <c r="AT62" i="19"/>
  <c r="AT63" i="19"/>
  <c r="AT64" i="19"/>
  <c r="AT65" i="19"/>
  <c r="AT110" i="19"/>
  <c r="AT111" i="19"/>
  <c r="AT112" i="19"/>
  <c r="AT113" i="19"/>
  <c r="AT114" i="19"/>
  <c r="AT115" i="19"/>
  <c r="AT116" i="19"/>
  <c r="AT117" i="19"/>
  <c r="AT118" i="19"/>
  <c r="AT119" i="19"/>
  <c r="AT120" i="19"/>
  <c r="AT121" i="19"/>
  <c r="AT122" i="19"/>
  <c r="AT123" i="19"/>
  <c r="AT124" i="19"/>
  <c r="AT125" i="19"/>
  <c r="AT126" i="19"/>
  <c r="AS7" i="19"/>
  <c r="AS8" i="19"/>
  <c r="AS9" i="19"/>
  <c r="AS10" i="19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43" i="19"/>
  <c r="AS44" i="19"/>
  <c r="AS45" i="19"/>
  <c r="AS46" i="19"/>
  <c r="AS47" i="19"/>
  <c r="AS48" i="19"/>
  <c r="AS49" i="19"/>
  <c r="AS50" i="19"/>
  <c r="AS51" i="19"/>
  <c r="AS52" i="19"/>
  <c r="AS53" i="19"/>
  <c r="AS54" i="19"/>
  <c r="AS55" i="19"/>
  <c r="AS56" i="19"/>
  <c r="AS57" i="19"/>
  <c r="AS58" i="19"/>
  <c r="AS59" i="19"/>
  <c r="AS60" i="19"/>
  <c r="AS61" i="19"/>
  <c r="AS62" i="19"/>
  <c r="AS63" i="19"/>
  <c r="AS64" i="19"/>
  <c r="AS65" i="19"/>
  <c r="AS110" i="19"/>
  <c r="AS111" i="19"/>
  <c r="AS112" i="19"/>
  <c r="AS113" i="19"/>
  <c r="AS114" i="19"/>
  <c r="AS115" i="19"/>
  <c r="AS116" i="19"/>
  <c r="AS117" i="19"/>
  <c r="AS118" i="19"/>
  <c r="AS119" i="19"/>
  <c r="AS120" i="19"/>
  <c r="AS121" i="19"/>
  <c r="AS122" i="19"/>
  <c r="AS123" i="19"/>
  <c r="AS124" i="19"/>
  <c r="AS125" i="19"/>
  <c r="AS126" i="19"/>
  <c r="AT6" i="19"/>
  <c r="AS6" i="19"/>
  <c r="B137" i="19"/>
  <c r="B139" i="19"/>
  <c r="B136" i="19"/>
  <c r="B134" i="19"/>
  <c r="B132" i="19"/>
  <c r="AL125" i="19"/>
  <c r="AL119" i="19"/>
  <c r="AL122" i="19"/>
  <c r="AL17" i="19"/>
  <c r="AL20" i="19"/>
  <c r="AL14" i="19"/>
  <c r="AL115" i="19"/>
  <c r="AL10" i="19"/>
  <c r="AL126" i="19"/>
  <c r="AL123" i="19"/>
  <c r="AL117" i="19"/>
  <c r="AL120" i="19"/>
  <c r="AL113" i="19"/>
  <c r="AL21" i="19"/>
  <c r="AL18" i="19"/>
  <c r="AL15" i="19"/>
  <c r="AL12" i="19"/>
  <c r="AL8" i="19"/>
  <c r="AL112" i="19"/>
  <c r="AL7" i="19"/>
  <c r="AL124" i="19"/>
  <c r="AL121" i="19"/>
  <c r="AL118" i="19"/>
  <c r="AL114" i="19"/>
  <c r="AL111" i="19"/>
  <c r="AL19" i="19"/>
  <c r="AL16" i="19"/>
  <c r="AL13" i="19"/>
  <c r="AL9" i="19"/>
  <c r="AL6" i="19"/>
  <c r="AR82" i="19" l="1"/>
  <c r="AL108" i="19"/>
  <c r="AN108" i="19" s="1"/>
  <c r="AL100" i="19"/>
  <c r="AN100" i="19" s="1"/>
  <c r="AL58" i="19"/>
  <c r="AL106" i="19"/>
  <c r="AN106" i="19" s="1"/>
  <c r="AL25" i="19"/>
  <c r="AL64" i="19"/>
  <c r="AL56" i="19"/>
  <c r="AL62" i="19"/>
  <c r="AL104" i="19"/>
  <c r="AN104" i="19" s="1"/>
  <c r="AL102" i="19"/>
  <c r="AN102" i="19" s="1"/>
  <c r="AL69" i="19"/>
  <c r="AN69" i="19" s="1"/>
  <c r="AL60" i="19"/>
  <c r="AL27" i="19"/>
  <c r="AL99" i="19"/>
  <c r="AN99" i="19" s="1"/>
  <c r="AL50" i="19"/>
  <c r="AL41" i="19"/>
  <c r="AL33" i="19"/>
  <c r="AL55" i="19"/>
  <c r="AL71" i="19"/>
  <c r="AN71" i="19" s="1"/>
  <c r="AL94" i="19"/>
  <c r="AN94" i="19" s="1"/>
  <c r="AL85" i="19"/>
  <c r="AN85" i="19" s="1"/>
  <c r="AL77" i="19"/>
  <c r="AN77" i="19" s="1"/>
  <c r="AL74" i="19"/>
  <c r="AN74" i="19" s="1"/>
  <c r="AL30" i="19"/>
  <c r="AL59" i="19"/>
  <c r="AL107" i="19"/>
  <c r="AN107" i="19" s="1"/>
  <c r="AL65" i="19"/>
  <c r="AL57" i="19"/>
  <c r="AL80" i="19"/>
  <c r="AN80" i="19" s="1"/>
  <c r="AL105" i="19"/>
  <c r="AN105" i="19" s="1"/>
  <c r="AL89" i="19"/>
  <c r="AN89" i="19" s="1"/>
  <c r="AL63" i="19"/>
  <c r="AL103" i="19"/>
  <c r="AN103" i="19" s="1"/>
  <c r="AL61" i="19"/>
  <c r="AL45" i="19"/>
  <c r="AL109" i="19"/>
  <c r="AN109" i="19" s="1"/>
  <c r="AL101" i="19"/>
  <c r="AN101" i="19" s="1"/>
  <c r="AL36" i="19"/>
  <c r="AL31" i="19"/>
  <c r="AL75" i="19"/>
  <c r="AN75" i="19" s="1"/>
  <c r="AL46" i="19"/>
  <c r="AL90" i="19"/>
  <c r="AN90" i="19" s="1"/>
  <c r="AL97" i="19"/>
  <c r="AN97" i="19" s="1"/>
  <c r="AL81" i="19"/>
  <c r="AN81" i="19" s="1"/>
  <c r="AL53" i="19"/>
  <c r="AL37" i="19"/>
  <c r="AL116" i="19"/>
  <c r="AL11" i="19"/>
  <c r="AH7" i="19"/>
  <c r="AP7" i="19" s="1"/>
  <c r="AH8" i="19"/>
  <c r="AP8" i="19" s="1"/>
  <c r="AH9" i="19"/>
  <c r="AP9" i="19" s="1"/>
  <c r="AH10" i="19"/>
  <c r="AP10" i="19" s="1"/>
  <c r="AH11" i="19"/>
  <c r="AP11" i="19" s="1"/>
  <c r="AH12" i="19"/>
  <c r="AP12" i="19" s="1"/>
  <c r="AH13" i="19"/>
  <c r="AP13" i="19" s="1"/>
  <c r="AH14" i="19"/>
  <c r="AP14" i="19" s="1"/>
  <c r="AH15" i="19"/>
  <c r="AP15" i="19" s="1"/>
  <c r="AH16" i="19"/>
  <c r="AP16" i="19" s="1"/>
  <c r="AH17" i="19"/>
  <c r="AP17" i="19" s="1"/>
  <c r="AH18" i="19"/>
  <c r="AP18" i="19" s="1"/>
  <c r="AH19" i="19"/>
  <c r="AP19" i="19" s="1"/>
  <c r="AH20" i="19"/>
  <c r="AP20" i="19" s="1"/>
  <c r="AH21" i="19"/>
  <c r="AP21" i="19" s="1"/>
  <c r="AH22" i="19"/>
  <c r="AP22" i="19" s="1"/>
  <c r="AH23" i="19"/>
  <c r="AP23" i="19" s="1"/>
  <c r="AH24" i="19"/>
  <c r="AP24" i="19" s="1"/>
  <c r="AH25" i="19"/>
  <c r="AP25" i="19" s="1"/>
  <c r="AH26" i="19"/>
  <c r="AP26" i="19" s="1"/>
  <c r="AH27" i="19"/>
  <c r="AP27" i="19" s="1"/>
  <c r="AH28" i="19"/>
  <c r="AP28" i="19" s="1"/>
  <c r="AH29" i="19"/>
  <c r="AP29" i="19" s="1"/>
  <c r="AH30" i="19"/>
  <c r="AP30" i="19" s="1"/>
  <c r="A154" i="19" s="1"/>
  <c r="AH31" i="19"/>
  <c r="AP31" i="19" s="1"/>
  <c r="AH32" i="19"/>
  <c r="AP32" i="19" s="1"/>
  <c r="AH33" i="19"/>
  <c r="AP33" i="19" s="1"/>
  <c r="AH34" i="19"/>
  <c r="AP34" i="19" s="1"/>
  <c r="AH35" i="19"/>
  <c r="AP35" i="19" s="1"/>
  <c r="AH36" i="19"/>
  <c r="AP36" i="19" s="1"/>
  <c r="AH37" i="19"/>
  <c r="AP37" i="19" s="1"/>
  <c r="AH38" i="19"/>
  <c r="AP38" i="19" s="1"/>
  <c r="AH39" i="19"/>
  <c r="AP39" i="19" s="1"/>
  <c r="AH40" i="19"/>
  <c r="AP40" i="19" s="1"/>
  <c r="AH41" i="19"/>
  <c r="AP41" i="19" s="1"/>
  <c r="AH42" i="19"/>
  <c r="AP42" i="19" s="1"/>
  <c r="AH43" i="19"/>
  <c r="AP43" i="19" s="1"/>
  <c r="AH44" i="19"/>
  <c r="AP44" i="19" s="1"/>
  <c r="AH45" i="19"/>
  <c r="AP45" i="19" s="1"/>
  <c r="AH46" i="19"/>
  <c r="AP46" i="19" s="1"/>
  <c r="AH47" i="19"/>
  <c r="AP47" i="19" s="1"/>
  <c r="AH48" i="19"/>
  <c r="AP48" i="19" s="1"/>
  <c r="AH49" i="19"/>
  <c r="AP49" i="19" s="1"/>
  <c r="AH50" i="19"/>
  <c r="AP50" i="19" s="1"/>
  <c r="AH51" i="19"/>
  <c r="AP51" i="19" s="1"/>
  <c r="AH52" i="19"/>
  <c r="AP52" i="19" s="1"/>
  <c r="AH53" i="19"/>
  <c r="AP53" i="19" s="1"/>
  <c r="AH54" i="19"/>
  <c r="AP54" i="19" s="1"/>
  <c r="AH55" i="19"/>
  <c r="AP55" i="19" s="1"/>
  <c r="AH56" i="19"/>
  <c r="AP56" i="19" s="1"/>
  <c r="AH57" i="19"/>
  <c r="AP57" i="19" s="1"/>
  <c r="AH58" i="19"/>
  <c r="AP58" i="19" s="1"/>
  <c r="AH59" i="19"/>
  <c r="AP59" i="19" s="1"/>
  <c r="AH60" i="19"/>
  <c r="AP60" i="19" s="1"/>
  <c r="AH61" i="19"/>
  <c r="AP61" i="19" s="1"/>
  <c r="AH62" i="19"/>
  <c r="AP62" i="19" s="1"/>
  <c r="AH63" i="19"/>
  <c r="AP63" i="19" s="1"/>
  <c r="AH64" i="19"/>
  <c r="AP64" i="19" s="1"/>
  <c r="AH65" i="19"/>
  <c r="AP65" i="19" s="1"/>
  <c r="AH110" i="19"/>
  <c r="AP110" i="19" s="1"/>
  <c r="AH111" i="19"/>
  <c r="AP111" i="19" s="1"/>
  <c r="AH112" i="19"/>
  <c r="AP112" i="19" s="1"/>
  <c r="AH113" i="19"/>
  <c r="AP113" i="19" s="1"/>
  <c r="AH114" i="19"/>
  <c r="AP114" i="19" s="1"/>
  <c r="AH115" i="19"/>
  <c r="AP115" i="19" s="1"/>
  <c r="AH116" i="19"/>
  <c r="AP116" i="19" s="1"/>
  <c r="AH117" i="19"/>
  <c r="AP117" i="19" s="1"/>
  <c r="AH118" i="19"/>
  <c r="AP118" i="19" s="1"/>
  <c r="AH119" i="19"/>
  <c r="AP119" i="19" s="1"/>
  <c r="AH120" i="19"/>
  <c r="AP120" i="19" s="1"/>
  <c r="AH121" i="19"/>
  <c r="AP121" i="19" s="1"/>
  <c r="AH122" i="19"/>
  <c r="AP122" i="19" s="1"/>
  <c r="AH123" i="19"/>
  <c r="AP123" i="19" s="1"/>
  <c r="AH124" i="19"/>
  <c r="AP124" i="19" s="1"/>
  <c r="AH125" i="19"/>
  <c r="AP125" i="19" s="1"/>
  <c r="AH126" i="19"/>
  <c r="AP126" i="19" s="1"/>
  <c r="AG7" i="19"/>
  <c r="AO7" i="19" s="1"/>
  <c r="AG8" i="19"/>
  <c r="AO8" i="19" s="1"/>
  <c r="AG9" i="19"/>
  <c r="AO9" i="19" s="1"/>
  <c r="AG10" i="19"/>
  <c r="AO10" i="19" s="1"/>
  <c r="AG11" i="19"/>
  <c r="AO11" i="19" s="1"/>
  <c r="AG12" i="19"/>
  <c r="AO12" i="19" s="1"/>
  <c r="AG13" i="19"/>
  <c r="AO13" i="19" s="1"/>
  <c r="AG14" i="19"/>
  <c r="AO14" i="19" s="1"/>
  <c r="AG15" i="19"/>
  <c r="AO15" i="19" s="1"/>
  <c r="AG16" i="19"/>
  <c r="AO16" i="19" s="1"/>
  <c r="AG17" i="19"/>
  <c r="AO17" i="19" s="1"/>
  <c r="AG18" i="19"/>
  <c r="AO18" i="19" s="1"/>
  <c r="AG19" i="19"/>
  <c r="AO19" i="19" s="1"/>
  <c r="AG20" i="19"/>
  <c r="AO20" i="19" s="1"/>
  <c r="AG21" i="19"/>
  <c r="AO21" i="19" s="1"/>
  <c r="AG22" i="19"/>
  <c r="AO22" i="19" s="1"/>
  <c r="AG23" i="19"/>
  <c r="AO23" i="19" s="1"/>
  <c r="AG24" i="19"/>
  <c r="AO24" i="19" s="1"/>
  <c r="AG25" i="19"/>
  <c r="AO25" i="19" s="1"/>
  <c r="AG26" i="19"/>
  <c r="AO26" i="19" s="1"/>
  <c r="AG27" i="19"/>
  <c r="AO27" i="19" s="1"/>
  <c r="AG28" i="19"/>
  <c r="AO28" i="19" s="1"/>
  <c r="AG29" i="19"/>
  <c r="AO29" i="19" s="1"/>
  <c r="AG30" i="19"/>
  <c r="AO30" i="19" s="1"/>
  <c r="AG31" i="19"/>
  <c r="AO31" i="19" s="1"/>
  <c r="AG32" i="19"/>
  <c r="AO32" i="19" s="1"/>
  <c r="AG33" i="19"/>
  <c r="AO33" i="19" s="1"/>
  <c r="AG34" i="19"/>
  <c r="AO34" i="19" s="1"/>
  <c r="AG35" i="19"/>
  <c r="AO35" i="19" s="1"/>
  <c r="AG36" i="19"/>
  <c r="AO36" i="19" s="1"/>
  <c r="AG37" i="19"/>
  <c r="AO37" i="19" s="1"/>
  <c r="AG38" i="19"/>
  <c r="AO38" i="19" s="1"/>
  <c r="AG39" i="19"/>
  <c r="AO39" i="19" s="1"/>
  <c r="AG40" i="19"/>
  <c r="AO40" i="19" s="1"/>
  <c r="AG41" i="19"/>
  <c r="AO41" i="19" s="1"/>
  <c r="AG42" i="19"/>
  <c r="AO42" i="19" s="1"/>
  <c r="AG43" i="19"/>
  <c r="AO43" i="19" s="1"/>
  <c r="AG44" i="19"/>
  <c r="AO44" i="19" s="1"/>
  <c r="AG45" i="19"/>
  <c r="AO45" i="19" s="1"/>
  <c r="AG46" i="19"/>
  <c r="AO46" i="19" s="1"/>
  <c r="AG47" i="19"/>
  <c r="AO47" i="19" s="1"/>
  <c r="AG48" i="19"/>
  <c r="AO48" i="19" s="1"/>
  <c r="AG49" i="19"/>
  <c r="AO49" i="19" s="1"/>
  <c r="AG50" i="19"/>
  <c r="AO50" i="19" s="1"/>
  <c r="AG51" i="19"/>
  <c r="AO51" i="19" s="1"/>
  <c r="AG52" i="19"/>
  <c r="AO52" i="19" s="1"/>
  <c r="AG53" i="19"/>
  <c r="AO53" i="19" s="1"/>
  <c r="AG54" i="19"/>
  <c r="AO54" i="19" s="1"/>
  <c r="AG55" i="19"/>
  <c r="AO55" i="19" s="1"/>
  <c r="AG56" i="19"/>
  <c r="AO56" i="19" s="1"/>
  <c r="AG57" i="19"/>
  <c r="AO57" i="19" s="1"/>
  <c r="AG58" i="19"/>
  <c r="AO58" i="19" s="1"/>
  <c r="AG59" i="19"/>
  <c r="AO59" i="19" s="1"/>
  <c r="AG60" i="19"/>
  <c r="AO60" i="19" s="1"/>
  <c r="AG61" i="19"/>
  <c r="AO61" i="19" s="1"/>
  <c r="AG62" i="19"/>
  <c r="AO62" i="19" s="1"/>
  <c r="AG63" i="19"/>
  <c r="AO63" i="19" s="1"/>
  <c r="AG64" i="19"/>
  <c r="AO64" i="19" s="1"/>
  <c r="AG65" i="19"/>
  <c r="AO65" i="19" s="1"/>
  <c r="AG110" i="19"/>
  <c r="AO110" i="19" s="1"/>
  <c r="AG111" i="19"/>
  <c r="AO111" i="19" s="1"/>
  <c r="AG112" i="19"/>
  <c r="AO112" i="19" s="1"/>
  <c r="AG113" i="19"/>
  <c r="AO113" i="19" s="1"/>
  <c r="AG114" i="19"/>
  <c r="AO114" i="19" s="1"/>
  <c r="AG115" i="19"/>
  <c r="AO115" i="19" s="1"/>
  <c r="AG116" i="19"/>
  <c r="AO116" i="19" s="1"/>
  <c r="AG117" i="19"/>
  <c r="AO117" i="19" s="1"/>
  <c r="AG118" i="19"/>
  <c r="AO118" i="19" s="1"/>
  <c r="AG119" i="19"/>
  <c r="AO119" i="19" s="1"/>
  <c r="AG120" i="19"/>
  <c r="AO120" i="19" s="1"/>
  <c r="AG121" i="19"/>
  <c r="AO121" i="19" s="1"/>
  <c r="AG122" i="19"/>
  <c r="AO122" i="19" s="1"/>
  <c r="AG123" i="19"/>
  <c r="AO123" i="19" s="1"/>
  <c r="AG124" i="19"/>
  <c r="AO124" i="19" s="1"/>
  <c r="AG125" i="19"/>
  <c r="AO125" i="19" s="1"/>
  <c r="AG126" i="19"/>
  <c r="AO126" i="19" s="1"/>
  <c r="AH6" i="19"/>
  <c r="AP6" i="19" s="1"/>
  <c r="AG6" i="19"/>
  <c r="AO6" i="19" s="1"/>
  <c r="AW66" i="19" l="1"/>
  <c r="H26" i="9" s="1"/>
  <c r="A155" i="19"/>
  <c r="D11" i="28" s="1"/>
  <c r="A159" i="19"/>
  <c r="D12" i="28" s="1"/>
  <c r="A158" i="19"/>
  <c r="D13" i="28" s="1"/>
  <c r="A157" i="19"/>
  <c r="A148" i="19"/>
  <c r="A160" i="19"/>
  <c r="D6" i="28" s="1"/>
  <c r="A152" i="19"/>
  <c r="A156" i="19"/>
  <c r="A153" i="19"/>
  <c r="D5" i="28" s="1"/>
  <c r="A151" i="19"/>
  <c r="A150" i="19"/>
  <c r="A149" i="19"/>
  <c r="AR65" i="19"/>
  <c r="AQ65" i="19"/>
  <c r="AQ58" i="19"/>
  <c r="AQ22" i="19"/>
  <c r="AQ126" i="19"/>
  <c r="AR126" i="19"/>
  <c r="AR22" i="19"/>
  <c r="AP127" i="19"/>
  <c r="AR111" i="19" s="1"/>
  <c r="AO127" i="19"/>
  <c r="AN7" i="19"/>
  <c r="AN8" i="19"/>
  <c r="AN9" i="19"/>
  <c r="AN10" i="19"/>
  <c r="AN11" i="19"/>
  <c r="AN12" i="19"/>
  <c r="AN13" i="19"/>
  <c r="AN14" i="19"/>
  <c r="AN15" i="19"/>
  <c r="AN16" i="19"/>
  <c r="AN17" i="19"/>
  <c r="AN18" i="19"/>
  <c r="AN19" i="19"/>
  <c r="AN20" i="19"/>
  <c r="AN21" i="19"/>
  <c r="AN22" i="19"/>
  <c r="AN23" i="19"/>
  <c r="AN24" i="19"/>
  <c r="AN25" i="19"/>
  <c r="AN26" i="19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39" i="19"/>
  <c r="AN40" i="19"/>
  <c r="AN41" i="19"/>
  <c r="AN42" i="19"/>
  <c r="AN43" i="19"/>
  <c r="AN44" i="19"/>
  <c r="AN45" i="19"/>
  <c r="AN46" i="19"/>
  <c r="AN47" i="19"/>
  <c r="AN48" i="19"/>
  <c r="AN49" i="19"/>
  <c r="AN50" i="19"/>
  <c r="AN51" i="19"/>
  <c r="AN52" i="19"/>
  <c r="AN53" i="19"/>
  <c r="AN54" i="19"/>
  <c r="AN55" i="19"/>
  <c r="AN56" i="19"/>
  <c r="AN57" i="19"/>
  <c r="AN58" i="19"/>
  <c r="AN59" i="19"/>
  <c r="AN60" i="19"/>
  <c r="AN61" i="19"/>
  <c r="AN62" i="19"/>
  <c r="AN63" i="19"/>
  <c r="AN64" i="19"/>
  <c r="AN65" i="19"/>
  <c r="AN110" i="19"/>
  <c r="AN111" i="19"/>
  <c r="AN112" i="19"/>
  <c r="AN113" i="19"/>
  <c r="AN114" i="19"/>
  <c r="AN115" i="19"/>
  <c r="AN116" i="19"/>
  <c r="AN117" i="19"/>
  <c r="AN118" i="19"/>
  <c r="AN119" i="19"/>
  <c r="AN120" i="19"/>
  <c r="AN121" i="19"/>
  <c r="AN122" i="19"/>
  <c r="AN123" i="19"/>
  <c r="AN124" i="19"/>
  <c r="AN125" i="19"/>
  <c r="AN126" i="19"/>
  <c r="AM126" i="19"/>
  <c r="AM7" i="19"/>
  <c r="AM8" i="19"/>
  <c r="AM9" i="19"/>
  <c r="AM10" i="19"/>
  <c r="AM11" i="19"/>
  <c r="AM12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26" i="19"/>
  <c r="AM27" i="19"/>
  <c r="AM28" i="19"/>
  <c r="AM29" i="19"/>
  <c r="AM30" i="19"/>
  <c r="AM31" i="19"/>
  <c r="AM32" i="19"/>
  <c r="AM33" i="19"/>
  <c r="AM34" i="19"/>
  <c r="AM35" i="19"/>
  <c r="AM36" i="19"/>
  <c r="AM37" i="19"/>
  <c r="AM38" i="19"/>
  <c r="AM39" i="19"/>
  <c r="AM40" i="19"/>
  <c r="AM41" i="19"/>
  <c r="AM42" i="19"/>
  <c r="AM43" i="19"/>
  <c r="AM44" i="19"/>
  <c r="AM45" i="19"/>
  <c r="AM46" i="19"/>
  <c r="AM47" i="19"/>
  <c r="AM48" i="19"/>
  <c r="AM49" i="19"/>
  <c r="AM50" i="19"/>
  <c r="AM51" i="19"/>
  <c r="AM52" i="19"/>
  <c r="AM53" i="19"/>
  <c r="AM54" i="19"/>
  <c r="AM55" i="19"/>
  <c r="AM56" i="19"/>
  <c r="AM57" i="19"/>
  <c r="AM58" i="19"/>
  <c r="AM59" i="19"/>
  <c r="AM60" i="19"/>
  <c r="AM61" i="19"/>
  <c r="AM62" i="19"/>
  <c r="AM63" i="19"/>
  <c r="AM64" i="19"/>
  <c r="AM65" i="19"/>
  <c r="AM110" i="19"/>
  <c r="AM111" i="19"/>
  <c r="AM112" i="19"/>
  <c r="AM113" i="19"/>
  <c r="AM114" i="19"/>
  <c r="AM115" i="19"/>
  <c r="AM116" i="19"/>
  <c r="AM117" i="19"/>
  <c r="AM118" i="19"/>
  <c r="AM119" i="19"/>
  <c r="AM120" i="19"/>
  <c r="AM121" i="19"/>
  <c r="AM122" i="19"/>
  <c r="AM123" i="19"/>
  <c r="AM124" i="19"/>
  <c r="AM125" i="19"/>
  <c r="AW22" i="19" l="1"/>
  <c r="G26" i="9" s="1"/>
  <c r="AW110" i="19"/>
  <c r="I26" i="9" s="1"/>
  <c r="AW5" i="19"/>
  <c r="F26" i="9" s="1"/>
  <c r="D15" i="28"/>
  <c r="F15" i="28" s="1"/>
  <c r="AR62" i="19"/>
  <c r="AR38" i="19"/>
  <c r="AR58" i="19"/>
  <c r="AR48" i="19"/>
  <c r="AR33" i="19"/>
  <c r="AR28" i="19"/>
  <c r="AR53" i="19"/>
  <c r="AR66" i="19"/>
  <c r="AR43" i="19"/>
  <c r="D9" i="28"/>
  <c r="F9" i="28" s="1"/>
  <c r="D7" i="28"/>
  <c r="F7" i="28" s="1"/>
  <c r="D8" i="28"/>
  <c r="F8" i="28" s="1"/>
  <c r="A161" i="19"/>
  <c r="AR23" i="19"/>
  <c r="AR127" i="19"/>
  <c r="E17" i="28"/>
  <c r="F16" i="28"/>
  <c r="F14" i="28"/>
  <c r="F13" i="28"/>
  <c r="F12" i="28"/>
  <c r="F11" i="28"/>
  <c r="F10" i="28"/>
  <c r="F6" i="28"/>
  <c r="F5" i="28"/>
  <c r="D17" i="28" l="1"/>
  <c r="G13" i="28" s="1"/>
  <c r="F17" i="28"/>
  <c r="G11" i="28" l="1"/>
  <c r="G7" i="28"/>
  <c r="G6" i="28"/>
  <c r="G5" i="28"/>
  <c r="G15" i="28"/>
  <c r="G14" i="28"/>
  <c r="G8" i="28"/>
  <c r="G9" i="28"/>
  <c r="G16" i="28"/>
  <c r="G12" i="28"/>
  <c r="G10" i="28"/>
  <c r="G17" i="28" l="1"/>
  <c r="F36" i="10" l="1"/>
  <c r="F37" i="10" s="1"/>
  <c r="F38" i="10" s="1"/>
  <c r="F39" i="10" s="1"/>
  <c r="F40" i="10" s="1"/>
  <c r="F41" i="10" s="1"/>
  <c r="F42" i="10" s="1"/>
  <c r="F43" i="10" s="1"/>
  <c r="F44" i="10" s="1"/>
  <c r="F62" i="9" l="1"/>
  <c r="F63" i="9" s="1"/>
  <c r="F64" i="9" s="1"/>
  <c r="F65" i="9" s="1"/>
  <c r="F66" i="9" s="1"/>
  <c r="F67" i="9" s="1"/>
  <c r="H14" i="20" l="1"/>
  <c r="G14" i="20"/>
  <c r="F14" i="20"/>
  <c r="H13" i="20"/>
  <c r="G13" i="20"/>
  <c r="F13" i="20"/>
  <c r="G12" i="20"/>
  <c r="F12" i="20"/>
  <c r="H11" i="20"/>
  <c r="G11" i="20"/>
  <c r="F11" i="20"/>
  <c r="G8" i="20"/>
  <c r="F8" i="20"/>
  <c r="H7" i="20"/>
  <c r="G7" i="20"/>
  <c r="F7" i="20"/>
  <c r="H6" i="20"/>
  <c r="G6" i="20"/>
  <c r="F6" i="20"/>
  <c r="K34" i="10"/>
  <c r="J34" i="10"/>
  <c r="I34" i="10"/>
  <c r="S12" i="20" s="1"/>
  <c r="H34" i="10"/>
  <c r="R12" i="20" s="1"/>
  <c r="K3" i="10"/>
  <c r="J3" i="10"/>
  <c r="I3" i="10"/>
  <c r="S8" i="20" s="1"/>
  <c r="H3" i="10"/>
  <c r="R8" i="20" s="1"/>
  <c r="H5" i="20" l="1"/>
  <c r="G5" i="20"/>
  <c r="F5" i="20"/>
  <c r="G53" i="10" l="1"/>
  <c r="G50" i="10"/>
  <c r="AN6" i="19"/>
  <c r="AT129" i="19" l="1"/>
  <c r="AS129" i="19"/>
  <c r="AS128" i="19" l="1"/>
  <c r="AT128" i="19"/>
  <c r="J25" i="9" l="1"/>
  <c r="T6" i="20" s="1"/>
  <c r="J150" i="9"/>
  <c r="T14" i="20" s="1"/>
  <c r="J129" i="9"/>
  <c r="T13" i="20" s="1"/>
  <c r="J57" i="9"/>
  <c r="T11" i="20" s="1"/>
  <c r="J4" i="9"/>
  <c r="T7" i="20" s="1"/>
  <c r="T5" i="20" l="1"/>
  <c r="G10" i="20"/>
  <c r="G9" i="20" s="1"/>
  <c r="J3" i="9"/>
  <c r="J81" i="9" l="1"/>
  <c r="H10" i="20"/>
  <c r="H9" i="20" s="1"/>
  <c r="H3" i="20" s="1"/>
  <c r="J82" i="9" l="1"/>
  <c r="J83" i="9" s="1"/>
  <c r="J84" i="9" s="1"/>
  <c r="J85" i="9" s="1"/>
  <c r="J86" i="9" s="1"/>
  <c r="J87" i="9" s="1"/>
  <c r="J88" i="9" s="1"/>
  <c r="J78" i="9"/>
  <c r="T10" i="20" s="1"/>
  <c r="T9" i="20" s="1"/>
  <c r="T3" i="20" s="1"/>
  <c r="E64" i="10"/>
  <c r="AM6" i="19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3" i="10"/>
  <c r="E62" i="10"/>
  <c r="E61" i="10"/>
  <c r="E60" i="10"/>
  <c r="E59" i="10"/>
  <c r="E58" i="10"/>
  <c r="E57" i="10"/>
  <c r="E56" i="10"/>
  <c r="E55" i="10"/>
  <c r="E54" i="10"/>
  <c r="E53" i="10"/>
  <c r="E49" i="10"/>
  <c r="E48" i="10"/>
  <c r="E47" i="10"/>
  <c r="E46" i="10"/>
  <c r="E45" i="10"/>
  <c r="E35" i="10"/>
  <c r="E33" i="10"/>
  <c r="E32" i="10"/>
  <c r="E31" i="10"/>
  <c r="K12" i="11" s="1"/>
  <c r="K41" i="11" s="1"/>
  <c r="E30" i="10"/>
  <c r="E29" i="10"/>
  <c r="I12" i="11" s="1"/>
  <c r="I41" i="11" s="1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170" i="9"/>
  <c r="E169" i="9"/>
  <c r="E168" i="9"/>
  <c r="E167" i="9"/>
  <c r="E166" i="9"/>
  <c r="E165" i="9"/>
  <c r="E164" i="9"/>
  <c r="E163" i="9"/>
  <c r="E162" i="9"/>
  <c r="E161" i="9"/>
  <c r="E160" i="9"/>
  <c r="M11" i="11" s="1"/>
  <c r="M40" i="11" s="1"/>
  <c r="E159" i="9"/>
  <c r="L11" i="11" s="1"/>
  <c r="E158" i="9"/>
  <c r="E157" i="9"/>
  <c r="E156" i="9"/>
  <c r="E155" i="9"/>
  <c r="E154" i="9"/>
  <c r="E153" i="9"/>
  <c r="E152" i="9"/>
  <c r="E151" i="9"/>
  <c r="I150" i="9"/>
  <c r="S14" i="20" s="1"/>
  <c r="H150" i="9"/>
  <c r="R14" i="20" s="1"/>
  <c r="G150" i="9"/>
  <c r="Q14" i="20" s="1"/>
  <c r="F150" i="9"/>
  <c r="P14" i="20" s="1"/>
  <c r="E149" i="9"/>
  <c r="E148" i="9"/>
  <c r="E147" i="9"/>
  <c r="E146" i="9"/>
  <c r="E145" i="9"/>
  <c r="E144" i="9"/>
  <c r="E143" i="9"/>
  <c r="E142" i="9"/>
  <c r="E141" i="9"/>
  <c r="E140" i="9"/>
  <c r="E139" i="9"/>
  <c r="E138" i="9"/>
  <c r="L14" i="11" s="1"/>
  <c r="L43" i="11" s="1"/>
  <c r="E137" i="9"/>
  <c r="E136" i="9"/>
  <c r="E135" i="9"/>
  <c r="E134" i="9"/>
  <c r="E133" i="9"/>
  <c r="E132" i="9"/>
  <c r="E131" i="9"/>
  <c r="E130" i="9"/>
  <c r="I129" i="9"/>
  <c r="S13" i="20" s="1"/>
  <c r="H129" i="9"/>
  <c r="R13" i="20" s="1"/>
  <c r="G129" i="9"/>
  <c r="Q13" i="20" s="1"/>
  <c r="F129" i="9"/>
  <c r="P13" i="20" s="1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89" i="9"/>
  <c r="E79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F8" i="11" s="1"/>
  <c r="E59" i="9"/>
  <c r="E58" i="9"/>
  <c r="I57" i="9"/>
  <c r="S11" i="20" s="1"/>
  <c r="H57" i="9"/>
  <c r="R11" i="20" s="1"/>
  <c r="G57" i="9"/>
  <c r="Q11" i="20" s="1"/>
  <c r="F57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I25" i="9"/>
  <c r="H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I4" i="9"/>
  <c r="S7" i="20" s="1"/>
  <c r="H4" i="9"/>
  <c r="R7" i="20" s="1"/>
  <c r="G4" i="9"/>
  <c r="Q7" i="20" s="1"/>
  <c r="F4" i="9"/>
  <c r="E3" i="18"/>
  <c r="E25" i="17"/>
  <c r="E3" i="17" s="1"/>
  <c r="E4" i="17"/>
  <c r="M27" i="11"/>
  <c r="L27" i="11"/>
  <c r="K27" i="11"/>
  <c r="J27" i="11"/>
  <c r="I27" i="11"/>
  <c r="H27" i="11"/>
  <c r="G27" i="11"/>
  <c r="F27" i="11"/>
  <c r="E27" i="11"/>
  <c r="D27" i="11"/>
  <c r="M25" i="11"/>
  <c r="L25" i="11"/>
  <c r="K25" i="11"/>
  <c r="J25" i="11"/>
  <c r="I25" i="11"/>
  <c r="H25" i="11"/>
  <c r="G25" i="11"/>
  <c r="F25" i="11"/>
  <c r="E25" i="11"/>
  <c r="D25" i="11"/>
  <c r="M23" i="11"/>
  <c r="L23" i="11"/>
  <c r="K23" i="11"/>
  <c r="J23" i="11"/>
  <c r="I23" i="11"/>
  <c r="H23" i="11"/>
  <c r="G23" i="11"/>
  <c r="F23" i="11"/>
  <c r="E23" i="11"/>
  <c r="D23" i="11"/>
  <c r="E14" i="20"/>
  <c r="D14" i="20"/>
  <c r="E13" i="20"/>
  <c r="D13" i="20"/>
  <c r="E11" i="20"/>
  <c r="D11" i="20"/>
  <c r="E7" i="20"/>
  <c r="D7" i="20"/>
  <c r="G2" i="20"/>
  <c r="S2" i="20" s="1"/>
  <c r="F2" i="20"/>
  <c r="R2" i="20" s="1"/>
  <c r="E2" i="20"/>
  <c r="Q2" i="20" s="1"/>
  <c r="D2" i="20"/>
  <c r="P2" i="20" s="1"/>
  <c r="J56" i="9" l="1"/>
  <c r="R6" i="20"/>
  <c r="H81" i="9"/>
  <c r="H91" i="9"/>
  <c r="H80" i="9"/>
  <c r="H90" i="9"/>
  <c r="S6" i="20"/>
  <c r="S5" i="20" s="1"/>
  <c r="I80" i="9"/>
  <c r="I90" i="9"/>
  <c r="I81" i="9"/>
  <c r="I91" i="9"/>
  <c r="G12" i="11"/>
  <c r="G41" i="11" s="1"/>
  <c r="K28" i="11"/>
  <c r="F28" i="11"/>
  <c r="F7" i="11"/>
  <c r="L7" i="11"/>
  <c r="J11" i="11"/>
  <c r="J8" i="11"/>
  <c r="J37" i="11" s="1"/>
  <c r="U13" i="20"/>
  <c r="H11" i="11"/>
  <c r="H40" i="11" s="1"/>
  <c r="I14" i="20"/>
  <c r="I13" i="20"/>
  <c r="F11" i="11"/>
  <c r="L9" i="11"/>
  <c r="L38" i="11" s="1"/>
  <c r="M28" i="11"/>
  <c r="R5" i="20"/>
  <c r="G11" i="11"/>
  <c r="G40" i="11" s="1"/>
  <c r="E11" i="11"/>
  <c r="E40" i="11" s="1"/>
  <c r="F10" i="20"/>
  <c r="F9" i="20" s="1"/>
  <c r="G28" i="11"/>
  <c r="U14" i="20"/>
  <c r="K11" i="11"/>
  <c r="I11" i="11"/>
  <c r="I40" i="11" s="1"/>
  <c r="J28" i="11"/>
  <c r="H9" i="11"/>
  <c r="H38" i="11" s="1"/>
  <c r="F37" i="11"/>
  <c r="I7" i="20"/>
  <c r="I11" i="20"/>
  <c r="H8" i="11"/>
  <c r="H37" i="11" s="1"/>
  <c r="D8" i="11"/>
  <c r="D37" i="11" s="1"/>
  <c r="E14" i="11"/>
  <c r="E43" i="11" s="1"/>
  <c r="D10" i="11"/>
  <c r="D39" i="11" s="1"/>
  <c r="E7" i="11"/>
  <c r="E36" i="11" s="1"/>
  <c r="I7" i="11"/>
  <c r="I36" i="11" s="1"/>
  <c r="M7" i="11"/>
  <c r="M36" i="11" s="1"/>
  <c r="G7" i="11"/>
  <c r="G36" i="11" s="1"/>
  <c r="K7" i="11"/>
  <c r="K36" i="11" s="1"/>
  <c r="M12" i="11"/>
  <c r="M41" i="11" s="1"/>
  <c r="D13" i="11"/>
  <c r="K40" i="11"/>
  <c r="I14" i="11"/>
  <c r="M14" i="11"/>
  <c r="M43" i="11" s="1"/>
  <c r="G14" i="11"/>
  <c r="G43" i="11" s="1"/>
  <c r="K14" i="11"/>
  <c r="K43" i="11" s="1"/>
  <c r="H7" i="11"/>
  <c r="J7" i="11"/>
  <c r="J36" i="11" s="1"/>
  <c r="G9" i="11"/>
  <c r="G38" i="11" s="1"/>
  <c r="K9" i="11"/>
  <c r="K38" i="11" s="1"/>
  <c r="I9" i="11"/>
  <c r="I38" i="11" s="1"/>
  <c r="M9" i="11"/>
  <c r="M38" i="11" s="1"/>
  <c r="I8" i="11"/>
  <c r="M8" i="11"/>
  <c r="M37" i="11" s="1"/>
  <c r="F14" i="11"/>
  <c r="J14" i="11"/>
  <c r="J43" i="11" s="1"/>
  <c r="D14" i="11"/>
  <c r="D43" i="11" s="1"/>
  <c r="H14" i="11"/>
  <c r="F9" i="11"/>
  <c r="F38" i="11" s="1"/>
  <c r="J9" i="11"/>
  <c r="J38" i="11" s="1"/>
  <c r="J12" i="11"/>
  <c r="J41" i="11" s="1"/>
  <c r="H12" i="11"/>
  <c r="H41" i="11" s="1"/>
  <c r="L12" i="11"/>
  <c r="L41" i="11" s="1"/>
  <c r="L8" i="11"/>
  <c r="L37" i="11" s="1"/>
  <c r="E9" i="11"/>
  <c r="E38" i="11" s="1"/>
  <c r="U18" i="20"/>
  <c r="E28" i="11"/>
  <c r="I28" i="11"/>
  <c r="E8" i="11"/>
  <c r="E37" i="11" s="1"/>
  <c r="E57" i="9"/>
  <c r="E150" i="9"/>
  <c r="D11" i="11"/>
  <c r="L40" i="11"/>
  <c r="F40" i="11"/>
  <c r="J40" i="11"/>
  <c r="E4" i="9"/>
  <c r="D7" i="11"/>
  <c r="C25" i="11"/>
  <c r="H3" i="9"/>
  <c r="G8" i="11"/>
  <c r="G37" i="11" s="1"/>
  <c r="K8" i="11"/>
  <c r="K37" i="11" s="1"/>
  <c r="C27" i="11"/>
  <c r="AN127" i="19"/>
  <c r="D28" i="11"/>
  <c r="H28" i="11"/>
  <c r="L28" i="11"/>
  <c r="E129" i="9"/>
  <c r="I18" i="20"/>
  <c r="AM127" i="19"/>
  <c r="F36" i="11"/>
  <c r="L36" i="11"/>
  <c r="C23" i="11"/>
  <c r="H36" i="11"/>
  <c r="P7" i="20"/>
  <c r="U7" i="20" s="1"/>
  <c r="I3" i="9"/>
  <c r="P11" i="20"/>
  <c r="U11" i="20" s="1"/>
  <c r="H85" i="9" l="1"/>
  <c r="H84" i="9"/>
  <c r="H83" i="9"/>
  <c r="H86" i="9"/>
  <c r="H82" i="9"/>
  <c r="H87" i="9"/>
  <c r="H88" i="9"/>
  <c r="H94" i="9"/>
  <c r="H93" i="9"/>
  <c r="H95" i="9"/>
  <c r="H92" i="9"/>
  <c r="H97" i="9"/>
  <c r="H96" i="9"/>
  <c r="H98" i="9"/>
  <c r="I92" i="9"/>
  <c r="I93" i="9"/>
  <c r="I95" i="9"/>
  <c r="I94" i="9"/>
  <c r="I98" i="9"/>
  <c r="I97" i="9"/>
  <c r="I96" i="9"/>
  <c r="I83" i="9"/>
  <c r="I85" i="9"/>
  <c r="I84" i="9"/>
  <c r="I86" i="9"/>
  <c r="I87" i="9"/>
  <c r="I82" i="9"/>
  <c r="I88" i="9"/>
  <c r="E6" i="10"/>
  <c r="F12" i="11" s="1"/>
  <c r="F41" i="11" s="1"/>
  <c r="G52" i="10"/>
  <c r="E52" i="10" s="1"/>
  <c r="E5" i="10"/>
  <c r="E12" i="11" s="1"/>
  <c r="E41" i="11" s="1"/>
  <c r="G51" i="10"/>
  <c r="E51" i="10" s="1"/>
  <c r="D42" i="11"/>
  <c r="G17" i="20"/>
  <c r="G16" i="20" s="1"/>
  <c r="R22" i="20"/>
  <c r="S17" i="20"/>
  <c r="S16" i="20" s="1"/>
  <c r="S22" i="20"/>
  <c r="R17" i="20"/>
  <c r="R16" i="20" s="1"/>
  <c r="F17" i="20"/>
  <c r="F16" i="20" s="1"/>
  <c r="D8" i="20"/>
  <c r="F3" i="10"/>
  <c r="P8" i="20" s="1"/>
  <c r="G36" i="10"/>
  <c r="E50" i="10"/>
  <c r="G3" i="10"/>
  <c r="Q8" i="20" s="1"/>
  <c r="E4" i="10"/>
  <c r="E8" i="20"/>
  <c r="E6" i="20"/>
  <c r="G25" i="9"/>
  <c r="F25" i="9"/>
  <c r="D6" i="20"/>
  <c r="E26" i="9"/>
  <c r="I37" i="11"/>
  <c r="C37" i="11" s="1"/>
  <c r="F43" i="11"/>
  <c r="C14" i="11"/>
  <c r="I43" i="11"/>
  <c r="H43" i="11"/>
  <c r="C8" i="11"/>
  <c r="Q22" i="20"/>
  <c r="D40" i="11"/>
  <c r="C40" i="11" s="1"/>
  <c r="C11" i="11"/>
  <c r="C7" i="11"/>
  <c r="D36" i="11"/>
  <c r="C36" i="11" s="1"/>
  <c r="C28" i="11"/>
  <c r="S4" i="20"/>
  <c r="D4" i="20"/>
  <c r="P4" i="20"/>
  <c r="D17" i="20"/>
  <c r="P17" i="20"/>
  <c r="P22" i="20"/>
  <c r="Q17" i="20"/>
  <c r="Q16" i="20" s="1"/>
  <c r="E17" i="20"/>
  <c r="E16" i="20" s="1"/>
  <c r="H78" i="9" l="1"/>
  <c r="R10" i="20" s="1"/>
  <c r="R9" i="20" s="1"/>
  <c r="G80" i="9"/>
  <c r="G81" i="9"/>
  <c r="G90" i="9"/>
  <c r="G91" i="9"/>
  <c r="I78" i="9"/>
  <c r="I56" i="9" s="1"/>
  <c r="F91" i="9"/>
  <c r="F90" i="9"/>
  <c r="F81" i="9"/>
  <c r="F80" i="9"/>
  <c r="E80" i="9" s="1"/>
  <c r="U8" i="20"/>
  <c r="G4" i="20"/>
  <c r="G3" i="20" s="1"/>
  <c r="U22" i="20"/>
  <c r="U17" i="20"/>
  <c r="E4" i="20"/>
  <c r="I17" i="20"/>
  <c r="I8" i="20"/>
  <c r="I6" i="20"/>
  <c r="R23" i="20"/>
  <c r="S23" i="20"/>
  <c r="R20" i="20"/>
  <c r="S20" i="20"/>
  <c r="R21" i="20"/>
  <c r="S21" i="20"/>
  <c r="F23" i="20"/>
  <c r="G23" i="20"/>
  <c r="F20" i="20"/>
  <c r="G20" i="20"/>
  <c r="F21" i="20"/>
  <c r="G21" i="20"/>
  <c r="E5" i="20"/>
  <c r="C43" i="11"/>
  <c r="D12" i="11"/>
  <c r="E3" i="10"/>
  <c r="G37" i="10"/>
  <c r="E36" i="10"/>
  <c r="E13" i="11" s="1"/>
  <c r="Q6" i="20"/>
  <c r="Q5" i="20" s="1"/>
  <c r="G3" i="9"/>
  <c r="D5" i="20"/>
  <c r="P6" i="20"/>
  <c r="F3" i="9"/>
  <c r="E25" i="9"/>
  <c r="E3" i="9" s="1"/>
  <c r="D9" i="11"/>
  <c r="Q4" i="20"/>
  <c r="D16" i="20"/>
  <c r="I16" i="20" s="1"/>
  <c r="P16" i="20"/>
  <c r="U16" i="20" s="1"/>
  <c r="Q20" i="20"/>
  <c r="P23" i="20"/>
  <c r="D23" i="20"/>
  <c r="Q23" i="20"/>
  <c r="E23" i="20"/>
  <c r="Q21" i="20"/>
  <c r="E21" i="20"/>
  <c r="E20" i="20"/>
  <c r="H56" i="9" l="1"/>
  <c r="E90" i="9"/>
  <c r="E10" i="11" s="1"/>
  <c r="E15" i="11" s="1"/>
  <c r="G83" i="9"/>
  <c r="G84" i="9"/>
  <c r="G87" i="9"/>
  <c r="G85" i="9"/>
  <c r="G88" i="9"/>
  <c r="G82" i="9"/>
  <c r="G86" i="9"/>
  <c r="G94" i="9"/>
  <c r="G98" i="9"/>
  <c r="G95" i="9"/>
  <c r="G96" i="9"/>
  <c r="G93" i="9"/>
  <c r="G97" i="9"/>
  <c r="G92" i="9"/>
  <c r="S10" i="20"/>
  <c r="S9" i="20" s="1"/>
  <c r="S3" i="20" s="1"/>
  <c r="F83" i="9"/>
  <c r="F82" i="9"/>
  <c r="F87" i="9"/>
  <c r="F85" i="9"/>
  <c r="F88" i="9"/>
  <c r="F86" i="9"/>
  <c r="F84" i="9"/>
  <c r="E81" i="9"/>
  <c r="F96" i="9"/>
  <c r="F94" i="9"/>
  <c r="F97" i="9"/>
  <c r="F95" i="9"/>
  <c r="E95" i="9" s="1"/>
  <c r="F92" i="9"/>
  <c r="F93" i="9"/>
  <c r="F98" i="9"/>
  <c r="E98" i="9" s="1"/>
  <c r="E91" i="9"/>
  <c r="D15" i="11"/>
  <c r="U6" i="20"/>
  <c r="R4" i="20"/>
  <c r="R3" i="20" s="1"/>
  <c r="F4" i="20"/>
  <c r="F3" i="20" s="1"/>
  <c r="I5" i="20"/>
  <c r="U23" i="20"/>
  <c r="F34" i="10"/>
  <c r="P12" i="20" s="1"/>
  <c r="R19" i="20"/>
  <c r="R15" i="20" s="1"/>
  <c r="S19" i="20"/>
  <c r="S15" i="20" s="1"/>
  <c r="F19" i="20"/>
  <c r="F15" i="20" s="1"/>
  <c r="G19" i="20"/>
  <c r="G15" i="20" s="1"/>
  <c r="I23" i="20"/>
  <c r="D12" i="20"/>
  <c r="E42" i="11"/>
  <c r="G38" i="10"/>
  <c r="E37" i="10"/>
  <c r="F13" i="11" s="1"/>
  <c r="D41" i="11"/>
  <c r="C41" i="11" s="1"/>
  <c r="C12" i="11"/>
  <c r="P5" i="20"/>
  <c r="U5" i="20" s="1"/>
  <c r="D38" i="11"/>
  <c r="C9" i="11"/>
  <c r="C17" i="11" s="1"/>
  <c r="E10" i="20"/>
  <c r="Q19" i="20"/>
  <c r="Q15" i="20" s="1"/>
  <c r="E19" i="20"/>
  <c r="E15" i="20" s="1"/>
  <c r="D21" i="20"/>
  <c r="I21" i="20" s="1"/>
  <c r="P21" i="20"/>
  <c r="U21" i="20" s="1"/>
  <c r="E93" i="9" l="1"/>
  <c r="E96" i="9"/>
  <c r="G78" i="9"/>
  <c r="Q10" i="20" s="1"/>
  <c r="E97" i="9"/>
  <c r="E92" i="9"/>
  <c r="E94" i="9"/>
  <c r="F10" i="11"/>
  <c r="F39" i="11" s="1"/>
  <c r="I4" i="20"/>
  <c r="U4" i="20"/>
  <c r="F42" i="11"/>
  <c r="G39" i="10"/>
  <c r="E38" i="10"/>
  <c r="G13" i="11" s="1"/>
  <c r="E82" i="9"/>
  <c r="C38" i="11"/>
  <c r="D44" i="11"/>
  <c r="E39" i="11"/>
  <c r="E44" i="11" s="1"/>
  <c r="P20" i="20"/>
  <c r="U20" i="20" s="1"/>
  <c r="D20" i="20"/>
  <c r="I20" i="20" s="1"/>
  <c r="G56" i="9" l="1"/>
  <c r="F15" i="11"/>
  <c r="F44" i="11"/>
  <c r="G10" i="11"/>
  <c r="G42" i="11"/>
  <c r="G40" i="10"/>
  <c r="E39" i="10"/>
  <c r="H13" i="11" s="1"/>
  <c r="E83" i="9"/>
  <c r="H10" i="11" s="1"/>
  <c r="D19" i="20"/>
  <c r="I19" i="20" s="1"/>
  <c r="P19" i="20"/>
  <c r="U19" i="20" s="1"/>
  <c r="G15" i="11" l="1"/>
  <c r="G39" i="11"/>
  <c r="G44" i="11" s="1"/>
  <c r="H42" i="11"/>
  <c r="G41" i="10"/>
  <c r="E40" i="10"/>
  <c r="I13" i="11" s="1"/>
  <c r="E84" i="9"/>
  <c r="I10" i="11" s="1"/>
  <c r="H39" i="11"/>
  <c r="H15" i="11"/>
  <c r="P15" i="20"/>
  <c r="U15" i="20" s="1"/>
  <c r="D15" i="20"/>
  <c r="I15" i="20" s="1"/>
  <c r="H44" i="11" l="1"/>
  <c r="G42" i="10"/>
  <c r="E41" i="10"/>
  <c r="I42" i="11"/>
  <c r="I39" i="11"/>
  <c r="I15" i="11"/>
  <c r="E85" i="9"/>
  <c r="I44" i="11" l="1"/>
  <c r="J10" i="11"/>
  <c r="J13" i="11"/>
  <c r="G43" i="10"/>
  <c r="E42" i="10"/>
  <c r="K13" i="11" s="1"/>
  <c r="E86" i="9"/>
  <c r="K10" i="11" s="1"/>
  <c r="J15" i="11" l="1"/>
  <c r="J39" i="11"/>
  <c r="K42" i="11"/>
  <c r="J42" i="11"/>
  <c r="G44" i="10"/>
  <c r="E44" i="10" s="1"/>
  <c r="M13" i="11" s="1"/>
  <c r="E43" i="10"/>
  <c r="K39" i="11"/>
  <c r="K15" i="11"/>
  <c r="E87" i="9"/>
  <c r="L10" i="11" s="1"/>
  <c r="G34" i="10" l="1"/>
  <c r="Q12" i="20" s="1"/>
  <c r="U12" i="20" s="1"/>
  <c r="K44" i="11"/>
  <c r="J44" i="11"/>
  <c r="L13" i="11"/>
  <c r="L15" i="11" s="1"/>
  <c r="E34" i="10"/>
  <c r="M42" i="11"/>
  <c r="E12" i="20"/>
  <c r="I12" i="20" s="1"/>
  <c r="E88" i="9"/>
  <c r="M10" i="11" s="1"/>
  <c r="C10" i="11" s="1"/>
  <c r="D10" i="20"/>
  <c r="I10" i="20" s="1"/>
  <c r="F78" i="9"/>
  <c r="L39" i="11"/>
  <c r="Q9" i="20" l="1"/>
  <c r="Q3" i="20" s="1"/>
  <c r="E78" i="9"/>
  <c r="E56" i="9" s="1"/>
  <c r="E9" i="20"/>
  <c r="E3" i="20" s="1"/>
  <c r="L42" i="11"/>
  <c r="C42" i="11" s="1"/>
  <c r="C13" i="11"/>
  <c r="C15" i="11" s="1"/>
  <c r="P10" i="20"/>
  <c r="U10" i="20" s="1"/>
  <c r="F56" i="9"/>
  <c r="D9" i="20"/>
  <c r="M39" i="11"/>
  <c r="M44" i="11" s="1"/>
  <c r="M15" i="11"/>
  <c r="I9" i="20" l="1"/>
  <c r="L44" i="11"/>
  <c r="C44" i="11" s="1"/>
  <c r="C39" i="11"/>
  <c r="P9" i="20"/>
  <c r="U9" i="20" s="1"/>
  <c r="D3" i="20"/>
  <c r="I3" i="20" s="1"/>
  <c r="P3" i="20" l="1"/>
  <c r="U3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 Office light client</author>
  </authors>
  <commentList>
    <comment ref="J13" authorId="0" shapeId="0" xr:uid="{00000000-0006-0000-0800-000004000000}">
      <text>
        <r>
          <rPr>
            <b/>
            <sz val="9"/>
            <color indexed="81"/>
            <rFont val="Segoe UI"/>
            <family val="2"/>
            <charset val="238"/>
          </rPr>
          <t>MS Office light client:</t>
        </r>
        <r>
          <rPr>
            <sz val="9"/>
            <color indexed="81"/>
            <rFont val="Segoe UI"/>
            <family val="2"/>
            <charset val="238"/>
          </rPr>
          <t xml:space="preserve">
obmena snímačov 50%
</t>
        </r>
      </text>
    </comment>
    <comment ref="K13" authorId="0" shapeId="0" xr:uid="{00000000-0006-0000-0800-000005000000}">
      <text>
        <r>
          <rPr>
            <b/>
            <sz val="9"/>
            <color indexed="81"/>
            <rFont val="Segoe UI"/>
            <family val="2"/>
            <charset val="238"/>
          </rPr>
          <t>MS Office light client:</t>
        </r>
        <r>
          <rPr>
            <sz val="9"/>
            <color indexed="81"/>
            <rFont val="Segoe UI"/>
            <family val="2"/>
            <charset val="238"/>
          </rPr>
          <t xml:space="preserve">
obmena snímačov 50%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 Office light client</author>
  </authors>
  <commentList>
    <comment ref="A55" authorId="0" shapeId="0" xr:uid="{00000000-0006-0000-0C00-000002000000}">
      <text>
        <r>
          <rPr>
            <b/>
            <sz val="9"/>
            <color indexed="81"/>
            <rFont val="Segoe UI"/>
            <family val="2"/>
            <charset val="238"/>
          </rPr>
          <t>MS Office light client:</t>
        </r>
        <r>
          <rPr>
            <sz val="9"/>
            <color indexed="81"/>
            <rFont val="Segoe UI"/>
            <family val="2"/>
            <charset val="238"/>
          </rPr>
          <t xml:space="preserve">
v stĺpci F sú náklady  na public cloud
v stlpci G sú náklady na telekomunikačné poplatky k SIMM kartám (tokeny)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Krok Martin</author>
  </authors>
  <commentList>
    <comment ref="AN127" authorId="0" shapeId="0" xr:uid="{00000000-0006-0000-0D00-000001000000}">
      <text>
        <r>
          <rPr>
            <b/>
            <sz val="9"/>
            <color indexed="81"/>
            <rFont val="Segoe UI"/>
            <family val="2"/>
            <charset val="238"/>
          </rPr>
          <t>Krok Martin:</t>
        </r>
        <r>
          <rPr>
            <sz val="9"/>
            <color indexed="81"/>
            <rFont val="Segoe UI"/>
            <family val="2"/>
            <charset val="238"/>
          </rPr>
          <t xml:space="preserve">
Súčet by mal zodpoveď Investičným nákladom na vývoj aplikácií
 v Alternatíve 2</t>
        </r>
      </text>
    </comment>
  </commentList>
</comments>
</file>

<file path=xl/sharedStrings.xml><?xml version="1.0" encoding="utf-8"?>
<sst xmlns="http://schemas.openxmlformats.org/spreadsheetml/2006/main" count="1328" uniqueCount="468">
  <si>
    <t>Názov</t>
  </si>
  <si>
    <t>Finančné prínosy</t>
  </si>
  <si>
    <t>Ekonomické prínosy</t>
  </si>
  <si>
    <t>Obdobie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</si>
  <si>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</si>
  <si>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</si>
  <si>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</si>
  <si>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</si>
  <si>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</si>
  <si>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</si>
  <si>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</si>
  <si>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</si>
  <si>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</si>
  <si>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</si>
  <si>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SPOLU</t>
  </si>
  <si>
    <t>Kvalitatívne prínosy</t>
  </si>
  <si>
    <t>Administratívne poplatky</t>
  </si>
  <si>
    <t>Ostatné daňové a nedaňové príjmy</t>
  </si>
  <si>
    <t>Organizácia</t>
  </si>
  <si>
    <t>Ulica</t>
  </si>
  <si>
    <t>PSČ</t>
  </si>
  <si>
    <t>Web</t>
  </si>
  <si>
    <t>IČO</t>
  </si>
  <si>
    <t>Spracovateľ</t>
  </si>
  <si>
    <t xml:space="preserve">Kontakt na spracovateľa    </t>
  </si>
  <si>
    <t>Hlavička tabuľky</t>
  </si>
  <si>
    <t>Popisná informácia</t>
  </si>
  <si>
    <t>Metodický pokyn k vypracovaniu finančnej analýzy projektu, analýzy nákladov a prínosov projektu a finančnej analýzy žiadateľa o NFP v programovom období 2014 – 2020.</t>
  </si>
  <si>
    <t>Jednotlivé informácie sú farebne odlíšené nasledovne:</t>
  </si>
  <si>
    <t>Automaticky vypočitavané hodnoty</t>
  </si>
  <si>
    <t>Miesto na vpisovanie vlastných hodnôt</t>
  </si>
  <si>
    <t>Preddefinované konštanty</t>
  </si>
  <si>
    <t>Pre projekty zamerané na služby agendových informačných systémov</t>
  </si>
  <si>
    <t>HW</t>
  </si>
  <si>
    <t>SW</t>
  </si>
  <si>
    <t>Všeobecný materiál</t>
  </si>
  <si>
    <t>Obstaranie, inštalácia SW produktu vrátane licencie k SW</t>
  </si>
  <si>
    <t>013 Softvér</t>
  </si>
  <si>
    <t>Kód EKO klasifikácie</t>
  </si>
  <si>
    <t>Účet/skupina výdavkov</t>
  </si>
  <si>
    <t>Vytvorenie aplikácie</t>
  </si>
  <si>
    <t>Školenia spojené so SW a aplikáciou</t>
  </si>
  <si>
    <t>518 Ostatné služby</t>
  </si>
  <si>
    <t>Prevádzka vytvoreného riešenia</t>
  </si>
  <si>
    <t>Poplatky vlastníkovi SW produktu - údržba / support k licenciám</t>
  </si>
  <si>
    <t>511 Opravy a udržiavanie</t>
  </si>
  <si>
    <t>Upgrade SW produktu</t>
  </si>
  <si>
    <t>Poplatky za udržanie funkčnosti / dostupnosti aplikácie / update</t>
  </si>
  <si>
    <t>Aplikačná podpora / helpdesk</t>
  </si>
  <si>
    <t>Rozvoj - doplnenie funkcionality aplikácie / upgrade</t>
  </si>
  <si>
    <t>Personálne náklady spojené s prevádzkou SW produktu a aplikácie</t>
  </si>
  <si>
    <t>521 Mzdové výdavky</t>
  </si>
  <si>
    <t>Obstaranie</t>
  </si>
  <si>
    <t>Prevádzka riešenia</t>
  </si>
  <si>
    <t>Nákup, inštalácia a sprevádzkovanie HW 
vrátane systémového SW</t>
  </si>
  <si>
    <t>Nákup, inštalácia a sprevádzkovanie HW
 vrátane systémového SW</t>
  </si>
  <si>
    <t>Školenia spojené s HW</t>
  </si>
  <si>
    <t>022 Samostatné hnuteľné veci
 a súbory hnuteľných vecí</t>
  </si>
  <si>
    <t>Poplatky dodávateľovi podpory HW - údržba/maintenance</t>
  </si>
  <si>
    <t>Upgrade HW</t>
  </si>
  <si>
    <t>Náklady na priestory, energie</t>
  </si>
  <si>
    <t>Personálne náklady spojené s prevádzkou HW</t>
  </si>
  <si>
    <t>Náklady na obstaranie a prevádzku HW</t>
  </si>
  <si>
    <t>Náklady na obstaranie a prevádzku SW</t>
  </si>
  <si>
    <t>Celkové náklady na vlastníctvo (TCO)</t>
  </si>
  <si>
    <t>Rok</t>
  </si>
  <si>
    <t>HW sumár obstaranie</t>
  </si>
  <si>
    <t>HW sumár prevádzka</t>
  </si>
  <si>
    <t xml:space="preserve">Spolu </t>
  </si>
  <si>
    <t>Spolu</t>
  </si>
  <si>
    <t>SW produkty</t>
  </si>
  <si>
    <t>Aplikácie</t>
  </si>
  <si>
    <t>SW produkty - sumár obstaranie</t>
  </si>
  <si>
    <t>SW produkty - sumár prevádzka</t>
  </si>
  <si>
    <t>Aplikácie - sumár obstaranie</t>
  </si>
  <si>
    <t>Aplikácie - sumár prevádzka</t>
  </si>
  <si>
    <t>Príloha pre výpočet TCO a čistej súčasnej hodnoty z projektu</t>
  </si>
  <si>
    <t>Názov riešenia</t>
  </si>
  <si>
    <t>112 Zásoby</t>
  </si>
  <si>
    <t>Náklady na existujúce riešenie
(pôvodné riešenie pred realizáciou projektu OP II), ktoré bolo nahradené</t>
  </si>
  <si>
    <t>Kód ISVS z MetaIS</t>
  </si>
  <si>
    <t>Číslo projektu ITMS</t>
  </si>
  <si>
    <t>Vytvorenie riešenia - obstaranie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</si>
  <si>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</si>
  <si>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</si>
  <si>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</si>
  <si>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</si>
  <si>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</si>
  <si>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</si>
  <si>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</si>
  <si>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</si>
  <si>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</si>
  <si>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</si>
  <si>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</si>
  <si>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</si>
  <si>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</si>
  <si>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</si>
  <si>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</si>
  <si>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</si>
  <si>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</si>
  <si>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</si>
  <si>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</si>
  <si>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</si>
  <si>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</si>
  <si>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</si>
  <si>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M24</t>
  </si>
  <si>
    <t>Počet dní interné</t>
  </si>
  <si>
    <t>Počet dní externé</t>
  </si>
  <si>
    <t>Pocet FTE interne</t>
  </si>
  <si>
    <t>Pocet FTE externe</t>
  </si>
  <si>
    <t>Rate FTE interné</t>
  </si>
  <si>
    <t>Suma interné</t>
  </si>
  <si>
    <t>Publicita a informovanosť</t>
  </si>
  <si>
    <t>INDIKATÍVNY ROZPOČET SPOLU</t>
  </si>
  <si>
    <t>Rozdiel</t>
  </si>
  <si>
    <t>HW (aj systémový SW) sumár obstaranie</t>
  </si>
  <si>
    <t>HW (aj systémový SW) sumár prevádzka</t>
  </si>
  <si>
    <t>TO BE</t>
  </si>
  <si>
    <t>Náklady na budúce riešenie</t>
  </si>
  <si>
    <t>Rozdiel v nákladoch medzi existujúcim a navrhovaným riešením</t>
  </si>
  <si>
    <t>Prínosy</t>
  </si>
  <si>
    <t xml:space="preserve">Úradníci (€) </t>
  </si>
  <si>
    <t>Občania (€)</t>
  </si>
  <si>
    <t>Úradníci (FTE)</t>
  </si>
  <si>
    <t>IT - CAPEX</t>
  </si>
  <si>
    <t>IT - OPEX</t>
  </si>
  <si>
    <t>N/A</t>
  </si>
  <si>
    <t>Nevyčíslené spoločenské prínosy</t>
  </si>
  <si>
    <t>AS IS</t>
  </si>
  <si>
    <t>Zoznam hárkov s vysvetlením a pokynmi</t>
  </si>
  <si>
    <t>Sumarizácia</t>
  </si>
  <si>
    <t>CBA</t>
  </si>
  <si>
    <t>Analyza citlivosti</t>
  </si>
  <si>
    <t>Výdavky</t>
  </si>
  <si>
    <t>Parametre</t>
  </si>
  <si>
    <t>TCO</t>
  </si>
  <si>
    <t>TCO Alt. 1 - SW</t>
  </si>
  <si>
    <t>TCO Alt. 1 - HW</t>
  </si>
  <si>
    <t>TCO Alt. 2 - SW</t>
  </si>
  <si>
    <t>TCO Alt. 2 - HW</t>
  </si>
  <si>
    <t>Rozpočet - vývoj aplikácii</t>
  </si>
  <si>
    <t>Slepý rozpočet</t>
  </si>
  <si>
    <t>Faktory</t>
  </si>
  <si>
    <t>Meranie prínosov</t>
  </si>
  <si>
    <t>Procesné mapy</t>
  </si>
  <si>
    <t>Procesy AS IS</t>
  </si>
  <si>
    <t>Procesy TO BE</t>
  </si>
  <si>
    <t>Hárok</t>
  </si>
  <si>
    <t>Účel hárku</t>
  </si>
  <si>
    <t>Vymenovanie a popísanie nevyčíslených spoločenských prínosov</t>
  </si>
  <si>
    <t>Sumarizácia výsledkov CBA podľa prínosov a modulov</t>
  </si>
  <si>
    <t>Výsledky CBA na agregátnej úrovni, výpočet BCR</t>
  </si>
  <si>
    <t>Žiadne</t>
  </si>
  <si>
    <t>Vstupy od zhotoviteľa (žlté polia)</t>
  </si>
  <si>
    <t>Automatický výpočet citlivosti výsledkov CBA na zmeny parametrov</t>
  </si>
  <si>
    <t>Výpočet prínosov projektu na základe vstupných parametrov</t>
  </si>
  <si>
    <t>Výpočet výdavkov projektu na základe vstupných parametrov</t>
  </si>
  <si>
    <t>Polia "Ostatné daňové a nedaňové príjmy" (ak projekt také generuje)</t>
  </si>
  <si>
    <t>Vstupné parametre pre jednotlivé moduly/životné situácie: počty podaní, trvania času</t>
  </si>
  <si>
    <t>Všetky relevantné žlté polia</t>
  </si>
  <si>
    <t>Zhrnutie celkových nákladov na vlastníctvo oboch alternatív projektu</t>
  </si>
  <si>
    <t xml:space="preserve">Náklady na vlastníctvo softvéru alternatívy 1 (AS IS) </t>
  </si>
  <si>
    <t xml:space="preserve">Náklady na vlastníctvo hardvéru alternatívy 1 (AS IS) </t>
  </si>
  <si>
    <t xml:space="preserve">Náklady na vlastníctvo softvéru alternatívy 2 (TO BE) </t>
  </si>
  <si>
    <t>Náklady na vlastníctvo hardvéru alternatívy 2 (TO BE)</t>
  </si>
  <si>
    <t>Všetky relevantné žlté polia a časové trvanie projektu</t>
  </si>
  <si>
    <t>Vyplnia dodávateľia, oslovení v procese trhovej konzultácie</t>
  </si>
  <si>
    <t>Zoznam modulov s ich opisom a harmonogramom</t>
  </si>
  <si>
    <t>Spoločné vstupné parametre pre ocenenie prínosov a výpočet CBA</t>
  </si>
  <si>
    <t>Aktuálne priemerné mzdy v hospodárstve podľa ŠÚ SR, rok začiatku projektu</t>
  </si>
  <si>
    <t xml:space="preserve">Slúži na rozdelenie prínosov podľa jednotlivých úradov (ak je to možné) 
a na ex-post monitorovanie dosahovania prínosov. </t>
  </si>
  <si>
    <t xml:space="preserve">V procese prípravy štúdie vyplní iba žlté stĺpce označené ako "Alt. 2", ktoré rozdeľujú prínosy podľa úradov </t>
  </si>
  <si>
    <t>Procesné mapy súčasného a budúceho stavu biznis procesov.</t>
  </si>
  <si>
    <t>Procesné mapy ako obrázky.</t>
  </si>
  <si>
    <t xml:space="preserve">Zdroj dát pre odhad časovej náročnosti súčasných procesov. </t>
  </si>
  <si>
    <t xml:space="preserve">Zdroj dát pre odhad časovej náročnosti budúcich procesov. </t>
  </si>
  <si>
    <t>Relevantné merania podľa procesov a procesných krokov.</t>
  </si>
  <si>
    <t>Riadenie projektu</t>
  </si>
  <si>
    <t>Riadenie a publicita</t>
  </si>
  <si>
    <t>Projektové riadenie</t>
  </si>
  <si>
    <t>Položka</t>
  </si>
  <si>
    <t>Merná jednotka</t>
  </si>
  <si>
    <t>Počet</t>
  </si>
  <si>
    <t>Zdroj ceny</t>
  </si>
  <si>
    <t>ks</t>
  </si>
  <si>
    <t>Rozpočet - HW a licencie</t>
  </si>
  <si>
    <t>Detailný rozpočet pre vývoj navrhovaného riešenia (TO BE)</t>
  </si>
  <si>
    <t>Položkový rozpočet pre nákup licencií a HW (TO BE)</t>
  </si>
  <si>
    <t>637003/637004</t>
  </si>
  <si>
    <t>Integrácie a migrácie (modulov)</t>
  </si>
  <si>
    <t>Výstupné náklady</t>
  </si>
  <si>
    <t>Zmluvné poplaky</t>
  </si>
  <si>
    <t>Technologické požiadavky</t>
  </si>
  <si>
    <t>SW a Aplikácie - výstupné náklady</t>
  </si>
  <si>
    <t>TO BE - AS IS (€, NPV)</t>
  </si>
  <si>
    <t>TO BE - AS IS (€, SUM)</t>
  </si>
  <si>
    <t>Náklady s DPH</t>
  </si>
  <si>
    <t>M26</t>
  </si>
  <si>
    <t>M28</t>
  </si>
  <si>
    <t>M30</t>
  </si>
  <si>
    <t>M25</t>
  </si>
  <si>
    <t>M27</t>
  </si>
  <si>
    <t>M29</t>
  </si>
  <si>
    <t>M23</t>
  </si>
  <si>
    <t>Náklady na priestory, energie, vrátane poplatkov public cloud</t>
  </si>
  <si>
    <t>CAPEX celková suma 
Eur s DPH</t>
  </si>
  <si>
    <t>OPEX / rok suma 
Eur s DPH</t>
  </si>
  <si>
    <t>Jednotková cena 
s DPH (EUR)</t>
  </si>
  <si>
    <t>CAPEX</t>
  </si>
  <si>
    <t>OPEX</t>
  </si>
  <si>
    <t>Verejné obstarávanie na realizáciu</t>
  </si>
  <si>
    <t>Aplikačná podpora SLA / helpdesk (L1, L2, L3)</t>
  </si>
  <si>
    <r>
      <t xml:space="preserve">Aplikácie - sumár prevádzka </t>
    </r>
    <r>
      <rPr>
        <i/>
        <sz val="11"/>
        <color rgb="FFFF0000"/>
        <rFont val="Calibri"/>
        <family val="2"/>
        <charset val="238"/>
        <scheme val="minor"/>
      </rPr>
      <t>(údržba SW a SLA)</t>
    </r>
  </si>
  <si>
    <t>Nájom Výpočtovej techniky v komerčnom cloude</t>
  </si>
  <si>
    <r>
      <t xml:space="preserve">HW sumár obstaranie </t>
    </r>
    <r>
      <rPr>
        <i/>
        <sz val="11"/>
        <color rgb="FFFF0000"/>
        <rFont val="Calibri"/>
        <family val="2"/>
        <charset val="238"/>
        <scheme val="minor"/>
      </rPr>
      <t>(obsahuje *)</t>
    </r>
  </si>
  <si>
    <t>*)   - náklady na HW infraštruktúru - služby cloudu - do ukončenia projektu</t>
  </si>
  <si>
    <t>NFP</t>
  </si>
  <si>
    <t>014 01</t>
  </si>
  <si>
    <t>Úprava existujúceho webového sídla žiadateľa</t>
  </si>
  <si>
    <t>Analýza a dizajn</t>
  </si>
  <si>
    <t>Návrh riešenia</t>
  </si>
  <si>
    <t>Implementácia</t>
  </si>
  <si>
    <t>Nasadenie</t>
  </si>
  <si>
    <t>Testovanie</t>
  </si>
  <si>
    <t xml:space="preserve">Informačný systém chatbota - AI modul </t>
  </si>
  <si>
    <t xml:space="preserve">Analýza a dizajn existujúceho stavu webového sídla  </t>
  </si>
  <si>
    <t xml:space="preserve">Návrh riešenia v súlade so sm. EÚ 2016/2102 a kyb. bezp. </t>
  </si>
  <si>
    <t xml:space="preserve">Implementácia, prevažne úprava CSS, odstránenie bezp. hrozieb </t>
  </si>
  <si>
    <t xml:space="preserve">Testovanie implementovaných zmien </t>
  </si>
  <si>
    <t xml:space="preserve">Nasadenie zmien do produčného prostredia </t>
  </si>
  <si>
    <t xml:space="preserve">Postimplementačná podpora - 1. trénovanie </t>
  </si>
  <si>
    <t xml:space="preserve">Postimplementačná podpora - 2. trénovanie </t>
  </si>
  <si>
    <t xml:space="preserve">Postimplementačná podpora - 3. trénovanie </t>
  </si>
  <si>
    <t xml:space="preserve">Postimplementačná podpora - 4. trénovanie </t>
  </si>
  <si>
    <t xml:space="preserve">Postimplementačná podpora - 5. trénovanie </t>
  </si>
  <si>
    <t>Úprava existujúceho webového sídla</t>
  </si>
  <si>
    <t>Informačný systém chatbota - AI modul</t>
  </si>
  <si>
    <t xml:space="preserve">Spracvanie dát - Open data </t>
  </si>
  <si>
    <t>Spracvanie dát - Open data</t>
  </si>
  <si>
    <t xml:space="preserve"> Modul N + 1</t>
  </si>
  <si>
    <t xml:space="preserve"> Modul N</t>
  </si>
  <si>
    <t xml:space="preserve"> Modul N + 2</t>
  </si>
  <si>
    <t>Výstup/funkcionalita/Fáza projektu</t>
  </si>
  <si>
    <t>Epertná pracovná pozícia</t>
  </si>
  <si>
    <t>IT analytik</t>
  </si>
  <si>
    <t>IT architekt</t>
  </si>
  <si>
    <t>IT tester</t>
  </si>
  <si>
    <t>IT programátor/vývojár</t>
  </si>
  <si>
    <t>Projektový manažér IT projektu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</si>
  <si>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</si>
  <si>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</si>
  <si>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</si>
  <si>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</si>
  <si>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Školiteľ pre IT systémy</t>
  </si>
  <si>
    <t>IT/IS konzultant (napr. SAP)</t>
  </si>
  <si>
    <t>Iné (pozícia, ktorú nie je možné zaradiť do vyššie uvedených pozícií)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</si>
  <si>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</si>
  <si>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</si>
  <si>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</si>
  <si>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</si>
  <si>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</si>
  <si>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</si>
  <si>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</si>
  <si>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</si>
  <si>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</si>
  <si>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Celkom</t>
  </si>
  <si>
    <t>Príloha: Limity na externé služby a vývoj/modernizáciu softvéru</t>
  </si>
  <si>
    <t>Projektový manažér IT</t>
  </si>
  <si>
    <t>IT konzultant</t>
  </si>
  <si>
    <t>IT programátor</t>
  </si>
  <si>
    <t>IT Tester</t>
  </si>
  <si>
    <t>Špecialista pre infraštruktúru</t>
  </si>
  <si>
    <t>IT analytik špecializácia AI</t>
  </si>
  <si>
    <t>IT konzultant špecializácia AI</t>
  </si>
  <si>
    <t>IT architekt špecializácia AI</t>
  </si>
  <si>
    <t>IT programátor špecializácia AI</t>
  </si>
  <si>
    <t>Rate FTE externé s DPH</t>
  </si>
  <si>
    <t>Suma externé s DPH</t>
  </si>
  <si>
    <t>Median SK € s DPH</t>
  </si>
  <si>
    <t>IT analytik špecializácia AI - plus 20% k IT analytik</t>
  </si>
  <si>
    <t>IT konzultant špecializácia AI - plus 20% k IT konzultant</t>
  </si>
  <si>
    <t>IT architekt špecializácia AI - plus 20% k IT architekt</t>
  </si>
  <si>
    <t>IT programátor špecializácia AI - plus 20% k IT programátor</t>
  </si>
  <si>
    <t>IT konzultant - odvodená ako 100% Projektový manažér IT</t>
  </si>
  <si>
    <t>Špecialista pre bezpečnosť IT - mínus 30% max limit podľa UHP</t>
  </si>
  <si>
    <t>Expertná pozícia</t>
  </si>
  <si>
    <t>Počet MD a podiel v %</t>
  </si>
  <si>
    <t>Dodávateľ</t>
  </si>
  <si>
    <t>Žiadateľ</t>
  </si>
  <si>
    <t>Počet dní interné - MD</t>
  </si>
  <si>
    <t>Počet dní externé - MD</t>
  </si>
  <si>
    <t>Zdroj cien dokument UHP Informatizácia 2.0 marec 2020</t>
  </si>
  <si>
    <t>https://www.mfsr.sk/files/archiv/39/Informatizacia2.0_reviziavydavkov_20200320.pdf</t>
  </si>
  <si>
    <t>Počet MD a podiel v % per modul</t>
  </si>
  <si>
    <t>Backend systému</t>
  </si>
  <si>
    <t>Frontend systému</t>
  </si>
  <si>
    <t>Integračný modul</t>
  </si>
  <si>
    <t xml:space="preserve">Rozhodovací strom </t>
  </si>
  <si>
    <t>AI modul</t>
  </si>
  <si>
    <t>Zber dát</t>
  </si>
  <si>
    <t>Trénovanie</t>
  </si>
  <si>
    <t>Ostatné nezaradené</t>
  </si>
  <si>
    <t>Počet MD na pozíciu</t>
  </si>
  <si>
    <t>Integrácia chatbota do elektornických formulárov - AI form modul</t>
  </si>
  <si>
    <t>Analýza a dizajn elektronických formulárov</t>
  </si>
  <si>
    <t>Analýza a dizajn AI form modulu</t>
  </si>
  <si>
    <t>Návrh riešenia elektronických formulárov</t>
  </si>
  <si>
    <t>Implementácia elektronických formulárov</t>
  </si>
  <si>
    <t>Testovanie elektronických formulárov</t>
  </si>
  <si>
    <t>Nasadenie elektronických formulárov</t>
  </si>
  <si>
    <t>Návrh riešenia AI form modulu</t>
  </si>
  <si>
    <t>Implementácia AI form modulu</t>
  </si>
  <si>
    <t>Testovanie AI form modulu</t>
  </si>
  <si>
    <t>Elektoronický formulár</t>
  </si>
  <si>
    <t>Analýza</t>
  </si>
  <si>
    <t>Povinnosť a pravidlá – 0,5 MD</t>
  </si>
  <si>
    <t>Schéma podľa ITVS – 1 MD</t>
  </si>
  <si>
    <t>Xpathy – 0,5 MD</t>
  </si>
  <si>
    <t>Test validácie xml voči XSD – 0,5 MD</t>
  </si>
  <si>
    <t>XSL FO pdf – 1 MD</t>
  </si>
  <si>
    <t>eDesk a sign – 1 MD</t>
  </si>
  <si>
    <t>Návrh a Design vypĺňacej vizualizácie – 1 MD</t>
  </si>
  <si>
    <t>MD</t>
  </si>
  <si>
    <t>Integrácia AI form modul do elektornického formulára</t>
  </si>
  <si>
    <t>Návrh</t>
  </si>
  <si>
    <t>Rozhodovací strom a prepojenia</t>
  </si>
  <si>
    <t>testovanie</t>
  </si>
  <si>
    <t>Počet elektornických formulárov</t>
  </si>
  <si>
    <t>Vytvorenie elektornických formulárov</t>
  </si>
  <si>
    <t>Integrácia AI form modulu do elektornických formulárov</t>
  </si>
  <si>
    <t>AI form modul</t>
  </si>
  <si>
    <t>Elektronické formuláre</t>
  </si>
  <si>
    <t>Integrácia do formulárov</t>
  </si>
  <si>
    <t>Rozhodovacie stromy</t>
  </si>
  <si>
    <t>1. rok</t>
  </si>
  <si>
    <t>2. rok</t>
  </si>
  <si>
    <t>Cena 1. rok externé</t>
  </si>
  <si>
    <t>Cena 1. rok interné</t>
  </si>
  <si>
    <t>Cena 2. rok interné</t>
  </si>
  <si>
    <t>Cena 2. rok externé</t>
  </si>
  <si>
    <t>Prevadzka a update</t>
  </si>
  <si>
    <t>Aplikacna podpora SLA</t>
  </si>
  <si>
    <t>Integrácia chatbota do el. form. - AI form modul</t>
  </si>
  <si>
    <t>Dočasný veľkoplošný pútač</t>
  </si>
  <si>
    <t>Umiestnenie trvalo vysvetľujúcej tabule</t>
  </si>
  <si>
    <t>Hodinová sadzba (bez odvodov zamestnávateľa)</t>
  </si>
  <si>
    <t>Max hour rate</t>
  </si>
  <si>
    <t>Max MD rate</t>
  </si>
  <si>
    <t>Odborník pre IT junior</t>
  </si>
  <si>
    <t>max. 15 EUR/h</t>
  </si>
  <si>
    <t>Odborník pre IT senior</t>
  </si>
  <si>
    <t>max. 25 EUR/h</t>
  </si>
  <si>
    <t>Pozície pre nepriame výdavky</t>
  </si>
  <si>
    <t xml:space="preserve">Odvody </t>
  </si>
  <si>
    <t xml:space="preserve">Počet hodín </t>
  </si>
  <si>
    <t>Počet MD je určený expertným odhadom. Cena práce je vypočítaná ako takmer max. mzda stanovaná príručkou prijímateľa vo výške 14.82 EUR x 1.3495 (superhrubá mzda) *7.5 (počet hodín denne v štátnej správe) - t.j. 150 eur za deň.
Predmetom je finančné riadenie projektu.</t>
  </si>
  <si>
    <t>Interná pozícia</t>
  </si>
  <si>
    <t>H. sadzba bez odvodov</t>
  </si>
  <si>
    <t>Odvody</t>
  </si>
  <si>
    <t>Hour rate</t>
  </si>
  <si>
    <t>Počet hodín</t>
  </si>
  <si>
    <t>MD rate</t>
  </si>
  <si>
    <t>IT Tester - senior</t>
  </si>
  <si>
    <t>IT Tester - junior</t>
  </si>
  <si>
    <t>Finančný manažér</t>
  </si>
  <si>
    <t>PR manažér</t>
  </si>
  <si>
    <t>Projektový manažér</t>
  </si>
  <si>
    <t>Cena s DPH za jednotku</t>
  </si>
  <si>
    <t>Jednotka</t>
  </si>
  <si>
    <t>Cena s DPH</t>
  </si>
  <si>
    <t>Spolu riadenie</t>
  </si>
  <si>
    <t>Spolu publicita</t>
  </si>
  <si>
    <t>Pozícia alebo položka</t>
  </si>
  <si>
    <t>Poznámka</t>
  </si>
  <si>
    <t>Cena určená ako 70 % max ceny podľa príručky oprávnenosti výdavko, táto cena predstavuje približnú hodnotu podľa UHP a vysúťažených súm z iných IT projektov</t>
  </si>
  <si>
    <t>max</t>
  </si>
  <si>
    <t>Tlač oznamov A4</t>
  </si>
  <si>
    <t>Tlač nálepeik s QR kódom - približne A6</t>
  </si>
  <si>
    <t xml:space="preserve">Tlačené oznamy, žiadateľ preferuje elktornickú oboznamovaciu kampaň, avšak vzhľadom na populárnosť u mladšej generácie sa uvažuje aj o QR kampani, cena určená priemerom z 3 ponúk dostupných na internete. </t>
  </si>
  <si>
    <t xml:space="preserve">Tlačené oznamy, žiadateľ preferuje elktornickú oboznamovaciu kampaň, avšak vzhľadom na zloženie obyvateľov a pridruženie menších partnerov je uvažované aj s 500 kusmi základných oznamov, cena určená priemerom z 3 ponúk dostupných na internete. </t>
  </si>
  <si>
    <t>Referent pre agendu</t>
  </si>
  <si>
    <t xml:space="preserve">Počet MD je určený ako 1/7 počas 6 mesiacov hlavného vývoja, pracovných dní v roku je 250 a za 6 mesiacov je to 125 a z toho vyplíva, že 125/7, čo predstavuje zaokrúhlene dole 17 MD. Cena práce je vypočítaná ako 12.00 € x 1.3495 (superhrubá mzda) * 7.5 (počet hodín denne v štátnej správe) - t.j. 121,46 € za deň. 
Predmetom práce je finančné riadenie, vypracovanie výkazov, zmlúv a iných potrebných dokumentov a finančných náležitostí v rámci komunikácie a spolupráce s SO a RO. </t>
  </si>
  <si>
    <t xml:space="preserve">Počet MD je určený ako 1/5 počas 6 mesiacov hlavného vývoja, pracovných dní v roku je 250 a za 6 mesiacov je to 125 a z toho vyplíva, že 125/5, čo predstavuje 25 MD. Cena práce je vypočítaná ako 14.00 € x 1.3495 (superhrubá mzda) * 7.5 (počet hodín denne v štátnej správe) - t.j. 141,70 € za deň. 
Predmetom práce je projektová podpora a riadenie projektu a náležitostí v rámci komunikácie a spolupráce s SO a RO. V rámci projektu je počítané aj s externým špecializovaným projektovým manažérom pre IT, riadenie bude v zmysle metodiky Prince2. </t>
  </si>
  <si>
    <t>Referent pre test elektronických formulárov</t>
  </si>
  <si>
    <t xml:space="preserve"> Modul N + 3</t>
  </si>
  <si>
    <t xml:space="preserve"> Modul N + 4</t>
  </si>
  <si>
    <t>Kompletný IS chatbota</t>
  </si>
  <si>
    <t>Public cloud</t>
  </si>
  <si>
    <t>WEB proxy</t>
  </si>
  <si>
    <t>WEB socket</t>
  </si>
  <si>
    <t>Database</t>
  </si>
  <si>
    <t>AI server</t>
  </si>
  <si>
    <t>Syslog</t>
  </si>
  <si>
    <t>Monitoring</t>
  </si>
  <si>
    <t>Audit VAS server</t>
  </si>
  <si>
    <t>Firewall router</t>
  </si>
  <si>
    <t xml:space="preserve">Jednotková cena €
s DPH </t>
  </si>
  <si>
    <t>Obdobie v rokoch</t>
  </si>
  <si>
    <t>Azure</t>
  </si>
  <si>
    <t>AWS</t>
  </si>
  <si>
    <t xml:space="preserve">disk </t>
  </si>
  <si>
    <t>cena za mesiac</t>
  </si>
  <si>
    <t xml:space="preserve">cena za rok </t>
  </si>
  <si>
    <t>B2S</t>
  </si>
  <si>
    <t>E4</t>
  </si>
  <si>
    <t>t3a.medium</t>
  </si>
  <si>
    <t>gp2</t>
  </si>
  <si>
    <t>S10</t>
  </si>
  <si>
    <t>st1</t>
  </si>
  <si>
    <t>B8MS</t>
  </si>
  <si>
    <t>a1.2xlarge</t>
  </si>
  <si>
    <t>S6</t>
  </si>
  <si>
    <t>B1MS</t>
  </si>
  <si>
    <t>E3</t>
  </si>
  <si>
    <t>t3a.small</t>
  </si>
  <si>
    <t>Cena v $</t>
  </si>
  <si>
    <t>Cena v €</t>
  </si>
  <si>
    <t>Azure link</t>
  </si>
  <si>
    <t>https://azure.microsoft.com/en-us/pricing/calculator/?service=virtual-machines</t>
  </si>
  <si>
    <t>https://calculator.aws/#/estimate?id=f8f60a8c50a85bed2a91ed0000cee333e6e74acb</t>
  </si>
  <si>
    <t>https://www.forpsicloud.sk/cloud-computing/cennik.aspx</t>
  </si>
  <si>
    <t>Forpsi cloud</t>
  </si>
  <si>
    <t>vCPU</t>
  </si>
  <si>
    <t>RAM</t>
  </si>
  <si>
    <t>SSD disk</t>
  </si>
  <si>
    <t>HDD disk</t>
  </si>
  <si>
    <t>Forpsicloud</t>
  </si>
  <si>
    <t>cena za rok v € s DPH</t>
  </si>
  <si>
    <t>cena za rok v $</t>
  </si>
  <si>
    <t>cena za mesiac v $</t>
  </si>
  <si>
    <t>USD to EUR</t>
  </si>
  <si>
    <t>Priemerná cena za rok v € s DPH</t>
  </si>
  <si>
    <t>Zdroj</t>
  </si>
  <si>
    <t xml:space="preserve">Zdroj ceny </t>
  </si>
  <si>
    <t>Hárok Prieskum trhu - komerčný cloud</t>
  </si>
  <si>
    <t>Nábehová krivka</t>
  </si>
  <si>
    <t>Iba 6 mesiacov</t>
  </si>
  <si>
    <t>Zlacnenie cloudu</t>
  </si>
  <si>
    <t>Navýšenie zdrojov</t>
  </si>
  <si>
    <t>Modul N</t>
  </si>
  <si>
    <t xml:space="preserve">V prípade nasadenia do komerčného cloudu odpadá náklad na prevádzku riešenia z pohľadu HW infraštruktúry a virtualizačného prostredia, zároveň odpadá potreba zálohovania na nezávislé úložisko Backup/NAS. </t>
  </si>
  <si>
    <t>Prevádzka</t>
  </si>
  <si>
    <t>CAPEX za prenájom komerčného cloudu je rátaný len ako 6 mesiacov v t1 a 6 mesiacov v t2</t>
  </si>
  <si>
    <t xml:space="preserve">OPEX za prenájom komerčného cloudu je rátaný len ako 6 mesiacov v t2 a celkovov t3 až t10. </t>
  </si>
  <si>
    <t>Trvanie projektu 18 mesiacov</t>
  </si>
  <si>
    <t>1 min videa</t>
  </si>
  <si>
    <t>https://fabervisum.sk/komercne-reklamne-video-tvorba</t>
  </si>
  <si>
    <t>https://creativum.sk/cennik/</t>
  </si>
  <si>
    <t>https://www.prognessa.com/video-reklama?gclid=EAIaIQobChMIm_i21IrA6gIVGLLtCh0XkgZAEAMYAiAAEgISs_D_BwE</t>
  </si>
  <si>
    <t>Priemerná cena za 1 min video</t>
  </si>
  <si>
    <t>1 minútové ideo o nasadení chatbota</t>
  </si>
  <si>
    <t xml:space="preserve">Krátke, približne 1 minútové video pre oboznamovaciu kampaň v rámci nasadenia moderných technológii do procesov komunikácie s verejnosťou a zlepšenie procesov agendy žiadateľa. Cena určená na základe prieskumu uvedeného nižšie. </t>
  </si>
  <si>
    <t xml:space="preserve">Počet MD je určený ako odhad pre vypracovanie reklamných a 3koliacich materiálov v podobe videí, elektornickej dokumentácie a samotnej komunikácie s verejnosťou ohľadom projektu, prácnosť je odhadnutá ako 7MD pre tvorbu, strihanie a publikovanie školiacich video materiálov, 9 MD tvorba propagačných a školiacich elektornických dokumentov, 10 MD ako komunikácia a propagácie projektu s verejnosťou, 15 MD propagácia projektu naprieč dotknutých partnerov a užívateľov systému spolu zo školením v rámci všeobecných výhod a benefitov systému, dokopy 41 MD. Cena práce je vypočítaná ako 10.00 € x 1.3495 (superhrubá mzda) * 7.5 (počet hodín denne v štátnej správe) - t.j. 101,21 € za deň. 
Predmetom prác je vypracovanie elektornických propagačných a školiacich materiálov a zároveň zabezpečiť v propagáciu od pridružených partnerov a najmä verenosť . Práca PR manažéra sa plánuje zachovať počas celej existencie a využívanie produktu aj po ukončení projektu. </t>
  </si>
  <si>
    <t xml:space="preserve">Počet MD je určený ako 1/2 počas 6 mesiacov hlavného vývoja, pracovných dní v roku je 250 a za 6 mesiacov je to 125 a z toho vyplíva, že 125/2, čo predstavuje zaokrúhlene dole 75 MD. Cena práce je vypočítaná ako 12.00 € x 1.3495 (superhrubá mzda) * 7.5 (počet hodín denne v štátnej správe) - t.j. 121,46 € za deň. 
Predmetom prác je najmä konzultačná činnosť pre expertných analytikov a iných expertných pozícii ohľadom agendy žiadateľa, ktorá sa bude v podobeelektronického  formulárového riešenia vytvárať a zároveň konzultačné práce naprieč ostatnými záležitosťami vyžadujúce znalosti na úrovni riadenia a spracovania procesov žiadateľa. </t>
  </si>
  <si>
    <t xml:space="preserve">Počet MD je určený ako počet formulárov na UPVS, čo predstavuje hodnotu 5, kde sa na formulár uvažuje s komplexným interným testovaním a záverečným UAT žiadateľa dokopy po dobu 3 MD na formulár a teda 4 * 3 je rovných 12 MD a k tomu pripočítame na interný formulár na portáli žiadateľa s interným testovaním a záverečným UAT po dobu 2 MD čo dokopy predstavuje 12 + 2 a to je rovných 14 MD. Cena práce je vypočítaná ako 10.00 € x 1.3495 (superhrubá mzda) * 7.5 (počet hodín denne v štátnej správe) - t.j. 101,21 € za deň. 
Predmetom prác je najmä konzultačná činnosť pre expertných analytikov a iných expertných pozícii ohľadom agendy žiadateľa, ktorá sa bude v podobeelektronického  formulárového riešenia vytvárať a zároveň konzultačné práce naprieč ostatnými záležitosťami vyžadujúce znalosti na úrovni riadenia a spracovania procesov žiadateľa. </t>
  </si>
  <si>
    <t xml:space="preserve">Zlepšenie služieb portálu Mesta Rajec pomocou zavedenia moderných technológii s využitím prvkov umelej inteligencie </t>
  </si>
  <si>
    <t>Mesto Rajec</t>
  </si>
  <si>
    <t>Námestie SNP 2/2, Rajec</t>
  </si>
  <si>
    <t>00321575</t>
  </si>
  <si>
    <t>http://www.rajec.info</t>
  </si>
  <si>
    <t>Celková hodnota NFP s *)</t>
  </si>
  <si>
    <t>Približná SH cena internistu IT mes.</t>
  </si>
  <si>
    <t xml:space="preserve">Ročná cena práce </t>
  </si>
  <si>
    <t>Cena ročnej obsluhy a údržby</t>
  </si>
  <si>
    <t>Základná obsluha a údržba 1/5 času</t>
  </si>
  <si>
    <r>
      <t xml:space="preserve">HW sumár prevádzka  </t>
    </r>
    <r>
      <rPr>
        <i/>
        <sz val="11"/>
        <color rgb="FFFF0000"/>
        <rFont val="Calibri"/>
        <family val="2"/>
        <charset val="238"/>
        <scheme val="minor"/>
      </rPr>
      <t>(obsahuje **)</t>
    </r>
  </si>
  <si>
    <t>**)  - náklady na služby cloudu</t>
  </si>
  <si>
    <t xml:space="preserve"> Celkový projekt a nepriame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</si>
</sst>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\ [$€-41B]"/>
    <numFmt numFmtId="168" formatCode="_-[$$-409]* #,##0.00_ ;_-[$$-409]* \-#,##0.00\ ;_-[$$-409]* &quot;-&quot;??_ ;_-@_ "/>
    <numFmt numFmtId="169" formatCode="#,##0\ &quot;EUR&quot;"/>
    <numFmt numFmtId="170" formatCode="0.0000%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11"/>
      <color theme="1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b/>
      <sz val="8"/>
      <color rgb="FFFA7D00"/>
      <name val="Calibri"/>
      <family val="2"/>
      <charset val="238"/>
      <scheme val="minor"/>
    </font>
    <font>
      <sz val="9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2" tint="-0.249977111117893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5" tint="-0.249977111117893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5" tint="-0.249977111117893"/>
      <name val="Calibri"/>
      <family val="2"/>
      <charset val="238"/>
      <scheme val="minor"/>
    </font>
    <font>
      <sz val="9"/>
      <color theme="5" tint="-0.249977111117893"/>
      <name val="Calibri"/>
      <family val="2"/>
      <charset val="238"/>
      <scheme val="minor"/>
    </font>
    <font>
      <b/>
      <sz val="9"/>
      <color theme="5" tint="-0.24997711111789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rgb="FF0070C0"/>
      <name val="Arial Narrow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theme="5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sz val="10"/>
      <name val="Arial Narrow"/>
      <family val="2"/>
      <charset val="238"/>
    </font>
    <font>
      <u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rgb="FF2F5496"/>
      </left>
      <right style="medium">
        <color rgb="FF2F5496"/>
      </right>
      <top style="medium">
        <color rgb="FF2F5496"/>
      </top>
      <bottom style="medium">
        <color rgb="FF2F5496"/>
      </bottom>
      <diagonal/>
    </border>
    <border>
      <left style="medium">
        <color rgb="FF2F5496"/>
      </left>
      <right style="medium">
        <color rgb="FF2F5496"/>
      </right>
      <top/>
      <bottom style="medium">
        <color rgb="FF2F5496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auto="1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8" applyNumberFormat="0" applyAlignment="0" applyProtection="0"/>
    <xf numFmtId="0" fontId="1" fillId="4" borderId="9" applyNumberFormat="0" applyFont="0" applyAlignment="0" applyProtection="0"/>
    <xf numFmtId="16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81">
    <xf numFmtId="0" fontId="0" fillId="0" borderId="0" xfId="0"/>
    <xf numFmtId="0" fontId="5" fillId="6" borderId="0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3" fontId="3" fillId="3" borderId="26" xfId="2" applyNumberFormat="1" applyBorder="1" applyAlignment="1">
      <alignment horizontal="right" vertical="top" wrapText="1"/>
    </xf>
    <xf numFmtId="0" fontId="7" fillId="0" borderId="0" xfId="0" applyFont="1" applyBorder="1"/>
    <xf numFmtId="0" fontId="5" fillId="6" borderId="49" xfId="0" applyFont="1" applyFill="1" applyBorder="1" applyAlignment="1">
      <alignment horizontal="left" vertical="top" wrapText="1"/>
    </xf>
    <xf numFmtId="3" fontId="3" fillId="3" borderId="6" xfId="2" applyNumberFormat="1" applyBorder="1" applyAlignment="1">
      <alignment horizontal="right" vertical="top" wrapText="1"/>
    </xf>
    <xf numFmtId="3" fontId="3" fillId="3" borderId="14" xfId="2" applyNumberFormat="1" applyBorder="1" applyAlignment="1">
      <alignment horizontal="right" vertical="top" wrapText="1"/>
    </xf>
    <xf numFmtId="3" fontId="3" fillId="3" borderId="7" xfId="2" applyNumberForma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3" fontId="3" fillId="3" borderId="6" xfId="2" applyNumberFormat="1" applyBorder="1" applyAlignment="1">
      <alignment vertical="top" wrapText="1"/>
    </xf>
    <xf numFmtId="3" fontId="3" fillId="3" borderId="14" xfId="2" applyNumberFormat="1" applyBorder="1" applyAlignment="1">
      <alignment vertical="top" wrapText="1"/>
    </xf>
    <xf numFmtId="3" fontId="3" fillId="3" borderId="7" xfId="2" applyNumberFormat="1" applyBorder="1" applyAlignment="1">
      <alignment vertical="top" wrapText="1"/>
    </xf>
    <xf numFmtId="0" fontId="5" fillId="9" borderId="2" xfId="0" applyFont="1" applyFill="1" applyBorder="1" applyAlignment="1">
      <alignment horizontal="left" vertical="top" wrapText="1"/>
    </xf>
    <xf numFmtId="0" fontId="5" fillId="6" borderId="19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left" vertical="top" wrapText="1"/>
    </xf>
    <xf numFmtId="3" fontId="3" fillId="3" borderId="50" xfId="2" applyNumberFormat="1" applyBorder="1" applyAlignment="1">
      <alignment horizontal="right" vertical="top" wrapText="1"/>
    </xf>
    <xf numFmtId="3" fontId="3" fillId="3" borderId="51" xfId="2" applyNumberFormat="1" applyBorder="1" applyAlignment="1">
      <alignment horizontal="right" vertical="top" wrapText="1"/>
    </xf>
    <xf numFmtId="3" fontId="3" fillId="3" borderId="52" xfId="2" applyNumberFormat="1" applyBorder="1" applyAlignment="1">
      <alignment horizontal="right" vertical="top" wrapText="1"/>
    </xf>
    <xf numFmtId="0" fontId="5" fillId="9" borderId="19" xfId="0" applyFont="1" applyFill="1" applyBorder="1" applyAlignment="1">
      <alignment horizontal="left" vertical="top" wrapText="1"/>
    </xf>
    <xf numFmtId="0" fontId="5" fillId="10" borderId="19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3" fillId="0" borderId="0" xfId="0" applyFont="1"/>
    <xf numFmtId="49" fontId="23" fillId="0" borderId="0" xfId="0" applyNumberFormat="1" applyFont="1"/>
    <xf numFmtId="3" fontId="3" fillId="3" borderId="51" xfId="2" applyNumberFormat="1" applyBorder="1"/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wrapText="1"/>
    </xf>
    <xf numFmtId="0" fontId="21" fillId="0" borderId="0" xfId="0" applyFont="1" applyAlignment="1"/>
    <xf numFmtId="0" fontId="22" fillId="0" borderId="0" xfId="0" applyFont="1" applyBorder="1" applyAlignment="1"/>
    <xf numFmtId="0" fontId="0" fillId="0" borderId="0" xfId="0" applyBorder="1"/>
    <xf numFmtId="0" fontId="23" fillId="0" borderId="0" xfId="0" applyFont="1" applyBorder="1" applyAlignment="1"/>
    <xf numFmtId="0" fontId="5" fillId="6" borderId="49" xfId="0" applyFont="1" applyFill="1" applyBorder="1" applyAlignment="1">
      <alignment horizontal="center" vertical="top" wrapText="1"/>
    </xf>
    <xf numFmtId="3" fontId="3" fillId="3" borderId="21" xfId="2" applyNumberFormat="1" applyBorder="1"/>
    <xf numFmtId="3" fontId="3" fillId="3" borderId="61" xfId="2" applyNumberFormat="1" applyBorder="1"/>
    <xf numFmtId="0" fontId="0" fillId="5" borderId="62" xfId="0" applyFill="1" applyBorder="1" applyAlignment="1">
      <alignment horizontal="center" vertical="top" wrapText="1"/>
    </xf>
    <xf numFmtId="3" fontId="3" fillId="3" borderId="55" xfId="2" applyNumberFormat="1" applyBorder="1" applyAlignment="1">
      <alignment horizontal="right"/>
    </xf>
    <xf numFmtId="3" fontId="3" fillId="3" borderId="56" xfId="2" applyNumberFormat="1" applyBorder="1" applyAlignment="1">
      <alignment horizontal="right"/>
    </xf>
    <xf numFmtId="3" fontId="3" fillId="3" borderId="49" xfId="2" applyNumberFormat="1" applyBorder="1"/>
    <xf numFmtId="3" fontId="3" fillId="3" borderId="19" xfId="2" applyNumberFormat="1" applyBorder="1"/>
    <xf numFmtId="3" fontId="3" fillId="3" borderId="63" xfId="2" applyNumberFormat="1" applyBorder="1"/>
    <xf numFmtId="0" fontId="20" fillId="0" borderId="6" xfId="0" applyFont="1" applyBorder="1" applyAlignment="1"/>
    <xf numFmtId="0" fontId="20" fillId="0" borderId="13" xfId="0" applyFont="1" applyBorder="1" applyAlignment="1"/>
    <xf numFmtId="0" fontId="22" fillId="0" borderId="14" xfId="0" applyFont="1" applyBorder="1" applyAlignment="1"/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5" borderId="60" xfId="0" applyFill="1" applyBorder="1" applyAlignment="1">
      <alignment horizontal="center" vertical="top" wrapText="1"/>
    </xf>
    <xf numFmtId="0" fontId="0" fillId="5" borderId="40" xfId="0" applyFill="1" applyBorder="1" applyAlignment="1">
      <alignment horizontal="center" vertical="top" wrapText="1"/>
    </xf>
    <xf numFmtId="0" fontId="0" fillId="5" borderId="41" xfId="0" applyFill="1" applyBorder="1" applyAlignment="1">
      <alignment horizontal="center" vertical="top" wrapText="1"/>
    </xf>
    <xf numFmtId="3" fontId="3" fillId="3" borderId="64" xfId="2" applyNumberFormat="1" applyBorder="1"/>
    <xf numFmtId="3" fontId="3" fillId="3" borderId="53" xfId="2" applyNumberFormat="1" applyBorder="1"/>
    <xf numFmtId="3" fontId="3" fillId="3" borderId="27" xfId="2" applyNumberFormat="1" applyBorder="1"/>
    <xf numFmtId="3" fontId="3" fillId="3" borderId="30" xfId="2" applyNumberFormat="1" applyBorder="1"/>
    <xf numFmtId="3" fontId="3" fillId="3" borderId="65" xfId="2" applyNumberFormat="1" applyBorder="1"/>
    <xf numFmtId="3" fontId="6" fillId="4" borderId="57" xfId="3" applyNumberFormat="1" applyFont="1" applyBorder="1" applyAlignment="1">
      <alignment vertical="top" wrapText="1"/>
    </xf>
    <xf numFmtId="3" fontId="6" fillId="4" borderId="33" xfId="3" applyNumberFormat="1" applyFont="1" applyBorder="1" applyAlignment="1">
      <alignment vertical="top" wrapText="1"/>
    </xf>
    <xf numFmtId="3" fontId="6" fillId="4" borderId="34" xfId="3" applyNumberFormat="1" applyFont="1" applyBorder="1" applyAlignment="1">
      <alignment vertical="top" wrapText="1"/>
    </xf>
    <xf numFmtId="3" fontId="6" fillId="4" borderId="25" xfId="3" applyNumberFormat="1" applyFont="1" applyBorder="1" applyAlignment="1">
      <alignment vertical="top" wrapText="1"/>
    </xf>
    <xf numFmtId="3" fontId="6" fillId="4" borderId="9" xfId="3" applyNumberFormat="1" applyFont="1" applyBorder="1" applyAlignment="1">
      <alignment vertical="top" wrapText="1"/>
    </xf>
    <xf numFmtId="3" fontId="6" fillId="4" borderId="35" xfId="3" applyNumberFormat="1" applyFont="1" applyBorder="1" applyAlignment="1">
      <alignment vertical="top" wrapText="1"/>
    </xf>
    <xf numFmtId="3" fontId="6" fillId="4" borderId="58" xfId="3" applyNumberFormat="1" applyFont="1" applyBorder="1" applyAlignment="1">
      <alignment vertical="top" wrapText="1"/>
    </xf>
    <xf numFmtId="3" fontId="6" fillId="4" borderId="36" xfId="3" applyNumberFormat="1" applyFont="1" applyBorder="1" applyAlignment="1">
      <alignment vertical="top" wrapText="1"/>
    </xf>
    <xf numFmtId="3" fontId="6" fillId="4" borderId="37" xfId="3" applyNumberFormat="1" applyFont="1" applyBorder="1" applyAlignment="1">
      <alignment vertical="top" wrapText="1"/>
    </xf>
    <xf numFmtId="3" fontId="6" fillId="4" borderId="57" xfId="3" applyNumberFormat="1" applyFont="1" applyBorder="1" applyAlignment="1">
      <alignment horizontal="right" vertical="top" wrapText="1"/>
    </xf>
    <xf numFmtId="3" fontId="6" fillId="4" borderId="33" xfId="3" applyNumberFormat="1" applyFont="1" applyBorder="1" applyAlignment="1">
      <alignment horizontal="right" vertical="top" wrapText="1"/>
    </xf>
    <xf numFmtId="3" fontId="6" fillId="4" borderId="25" xfId="3" applyNumberFormat="1" applyFont="1" applyBorder="1" applyAlignment="1">
      <alignment horizontal="right" vertical="top" wrapText="1"/>
    </xf>
    <xf numFmtId="3" fontId="6" fillId="4" borderId="9" xfId="3" applyNumberFormat="1" applyFont="1" applyBorder="1" applyAlignment="1">
      <alignment horizontal="right" vertical="top" wrapText="1"/>
    </xf>
    <xf numFmtId="3" fontId="6" fillId="4" borderId="58" xfId="3" applyNumberFormat="1" applyFont="1" applyBorder="1" applyAlignment="1">
      <alignment horizontal="right" vertical="top" wrapText="1"/>
    </xf>
    <xf numFmtId="3" fontId="6" fillId="4" borderId="36" xfId="3" applyNumberFormat="1" applyFont="1" applyBorder="1" applyAlignment="1">
      <alignment horizontal="right" vertical="top" wrapText="1"/>
    </xf>
    <xf numFmtId="3" fontId="6" fillId="4" borderId="34" xfId="3" applyNumberFormat="1" applyFont="1" applyBorder="1" applyAlignment="1">
      <alignment horizontal="right" vertical="top" wrapText="1"/>
    </xf>
    <xf numFmtId="3" fontId="6" fillId="4" borderId="35" xfId="3" applyNumberFormat="1" applyFont="1" applyBorder="1" applyAlignment="1">
      <alignment horizontal="right" vertical="top" wrapText="1"/>
    </xf>
    <xf numFmtId="3" fontId="6" fillId="4" borderId="37" xfId="3" applyNumberFormat="1" applyFont="1" applyBorder="1" applyAlignment="1">
      <alignment horizontal="right" vertical="top" wrapText="1"/>
    </xf>
    <xf numFmtId="3" fontId="3" fillId="3" borderId="66" xfId="2" applyNumberFormat="1" applyBorder="1" applyAlignment="1">
      <alignment horizontal="right" vertical="top" wrapText="1"/>
    </xf>
    <xf numFmtId="3" fontId="3" fillId="3" borderId="32" xfId="2" applyNumberFormat="1" applyBorder="1" applyAlignment="1">
      <alignment horizontal="right" vertical="top" wrapText="1"/>
    </xf>
    <xf numFmtId="3" fontId="3" fillId="3" borderId="31" xfId="2" applyNumberFormat="1" applyBorder="1" applyAlignment="1">
      <alignment vertical="top" wrapText="1"/>
    </xf>
    <xf numFmtId="3" fontId="3" fillId="3" borderId="28" xfId="2" applyNumberFormat="1" applyBorder="1" applyAlignment="1">
      <alignment vertical="top" wrapText="1"/>
    </xf>
    <xf numFmtId="3" fontId="3" fillId="3" borderId="29" xfId="2" applyNumberFormat="1" applyBorder="1" applyAlignment="1">
      <alignment vertical="top" wrapText="1"/>
    </xf>
    <xf numFmtId="3" fontId="3" fillId="3" borderId="67" xfId="2" applyNumberFormat="1" applyBorder="1" applyAlignment="1">
      <alignment vertical="top" wrapText="1"/>
    </xf>
    <xf numFmtId="3" fontId="3" fillId="3" borderId="8" xfId="2" applyNumberFormat="1" applyBorder="1" applyAlignment="1">
      <alignment vertical="top" wrapText="1"/>
    </xf>
    <xf numFmtId="3" fontId="3" fillId="3" borderId="22" xfId="2" applyNumberFormat="1" applyBorder="1" applyAlignment="1">
      <alignment vertical="top" wrapText="1"/>
    </xf>
    <xf numFmtId="0" fontId="27" fillId="0" borderId="0" xfId="0" applyFont="1"/>
    <xf numFmtId="0" fontId="27" fillId="0" borderId="0" xfId="0" applyFont="1" applyAlignment="1">
      <alignment horizontal="right"/>
    </xf>
    <xf numFmtId="0" fontId="28" fillId="11" borderId="54" xfId="0" applyFont="1" applyFill="1" applyBorder="1" applyAlignment="1">
      <alignment vertical="top"/>
    </xf>
    <xf numFmtId="0" fontId="28" fillId="11" borderId="0" xfId="0" applyFont="1" applyFill="1" applyBorder="1" applyAlignment="1">
      <alignment vertical="top"/>
    </xf>
    <xf numFmtId="0" fontId="27" fillId="0" borderId="0" xfId="0" applyFont="1" applyBorder="1"/>
    <xf numFmtId="0" fontId="27" fillId="0" borderId="0" xfId="0" applyFont="1" applyFill="1" applyBorder="1" applyAlignment="1">
      <alignment horizontal="left"/>
    </xf>
    <xf numFmtId="0" fontId="32" fillId="12" borderId="18" xfId="0" applyFont="1" applyFill="1" applyBorder="1"/>
    <xf numFmtId="0" fontId="27" fillId="0" borderId="0" xfId="0" applyFont="1" applyFill="1"/>
    <xf numFmtId="0" fontId="33" fillId="0" borderId="0" xfId="0" applyFont="1"/>
    <xf numFmtId="0" fontId="1" fillId="5" borderId="38" xfId="0" applyFont="1" applyFill="1" applyBorder="1" applyAlignment="1">
      <alignment horizontal="center" vertical="top" wrapText="1"/>
    </xf>
    <xf numFmtId="0" fontId="1" fillId="5" borderId="60" xfId="0" applyFont="1" applyFill="1" applyBorder="1" applyAlignment="1">
      <alignment horizontal="center" vertical="top" wrapText="1"/>
    </xf>
    <xf numFmtId="0" fontId="1" fillId="5" borderId="40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/>
    </xf>
    <xf numFmtId="3" fontId="3" fillId="3" borderId="55" xfId="2" applyNumberFormat="1" applyFont="1" applyBorder="1" applyAlignment="1">
      <alignment horizontal="right"/>
    </xf>
    <xf numFmtId="3" fontId="3" fillId="3" borderId="64" xfId="2" applyNumberFormat="1" applyFont="1" applyBorder="1"/>
    <xf numFmtId="3" fontId="3" fillId="3" borderId="21" xfId="2" applyNumberFormat="1" applyFont="1" applyBorder="1"/>
    <xf numFmtId="3" fontId="3" fillId="3" borderId="53" xfId="2" applyNumberFormat="1" applyFont="1" applyBorder="1"/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3" fontId="3" fillId="3" borderId="56" xfId="2" applyNumberFormat="1" applyFont="1" applyBorder="1" applyAlignment="1">
      <alignment horizontal="right"/>
    </xf>
    <xf numFmtId="3" fontId="3" fillId="3" borderId="49" xfId="2" applyNumberFormat="1" applyFont="1" applyBorder="1"/>
    <xf numFmtId="3" fontId="3" fillId="3" borderId="61" xfId="2" applyNumberFormat="1" applyFont="1" applyBorder="1"/>
    <xf numFmtId="3" fontId="3" fillId="3" borderId="51" xfId="2" applyNumberFormat="1" applyFont="1" applyBorder="1"/>
    <xf numFmtId="3" fontId="3" fillId="3" borderId="63" xfId="2" applyNumberFormat="1" applyFont="1" applyBorder="1"/>
    <xf numFmtId="3" fontId="3" fillId="3" borderId="19" xfId="2" applyNumberFormat="1" applyFont="1" applyBorder="1"/>
    <xf numFmtId="3" fontId="3" fillId="3" borderId="69" xfId="2" applyNumberFormat="1" applyFont="1" applyBorder="1"/>
    <xf numFmtId="3" fontId="3" fillId="3" borderId="8" xfId="2" applyNumberFormat="1" applyFont="1" applyBorder="1"/>
    <xf numFmtId="0" fontId="24" fillId="0" borderId="0" xfId="0" applyFont="1" applyBorder="1"/>
    <xf numFmtId="0" fontId="5" fillId="0" borderId="0" xfId="0" applyFont="1" applyFill="1" applyBorder="1" applyAlignment="1">
      <alignment horizontal="center" vertical="top" wrapText="1"/>
    </xf>
    <xf numFmtId="3" fontId="3" fillId="0" borderId="0" xfId="2" applyNumberFormat="1" applyFill="1" applyBorder="1"/>
    <xf numFmtId="0" fontId="4" fillId="0" borderId="41" xfId="0" applyFont="1" applyBorder="1" applyAlignment="1"/>
    <xf numFmtId="0" fontId="4" fillId="0" borderId="75" xfId="0" applyFont="1" applyBorder="1" applyAlignment="1"/>
    <xf numFmtId="0" fontId="0" fillId="0" borderId="76" xfId="0" applyFont="1" applyBorder="1" applyAlignment="1">
      <alignment horizontal="left"/>
    </xf>
    <xf numFmtId="0" fontId="5" fillId="6" borderId="19" xfId="0" applyFont="1" applyFill="1" applyBorder="1" applyAlignment="1">
      <alignment horizontal="center" vertical="top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right"/>
    </xf>
    <xf numFmtId="0" fontId="24" fillId="0" borderId="2" xfId="0" applyFont="1" applyBorder="1"/>
    <xf numFmtId="0" fontId="26" fillId="0" borderId="14" xfId="0" applyFont="1" applyBorder="1" applyAlignment="1"/>
    <xf numFmtId="0" fontId="0" fillId="13" borderId="12" xfId="0" applyFill="1" applyBorder="1"/>
    <xf numFmtId="0" fontId="0" fillId="13" borderId="73" xfId="0" applyFill="1" applyBorder="1"/>
    <xf numFmtId="0" fontId="28" fillId="11" borderId="5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8" fillId="11" borderId="13" xfId="0" applyFont="1" applyFill="1" applyBorder="1" applyAlignment="1">
      <alignment horizontal="center"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14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27" fillId="13" borderId="79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left" vertical="center"/>
    </xf>
    <xf numFmtId="0" fontId="28" fillId="11" borderId="13" xfId="0" applyFont="1" applyFill="1" applyBorder="1" applyAlignment="1">
      <alignment horizontal="left" vertical="center"/>
    </xf>
    <xf numFmtId="0" fontId="30" fillId="13" borderId="81" xfId="0" applyFont="1" applyFill="1" applyBorder="1" applyAlignment="1">
      <alignment horizontal="left" vertical="center"/>
    </xf>
    <xf numFmtId="0" fontId="31" fillId="13" borderId="81" xfId="0" applyFont="1" applyFill="1" applyBorder="1" applyAlignment="1">
      <alignment horizontal="left" vertical="center"/>
    </xf>
    <xf numFmtId="0" fontId="32" fillId="12" borderId="7" xfId="0" applyFont="1" applyFill="1" applyBorder="1" applyAlignment="1">
      <alignment horizontal="left" vertical="center"/>
    </xf>
    <xf numFmtId="3" fontId="3" fillId="3" borderId="82" xfId="2" applyNumberFormat="1" applyBorder="1" applyAlignment="1">
      <alignment horizontal="right" vertical="top" wrapText="1"/>
    </xf>
    <xf numFmtId="3" fontId="6" fillId="4" borderId="68" xfId="3" applyNumberFormat="1" applyFont="1" applyBorder="1" applyAlignment="1">
      <alignment horizontal="right" vertical="top" wrapText="1"/>
    </xf>
    <xf numFmtId="3" fontId="6" fillId="4" borderId="83" xfId="3" applyNumberFormat="1" applyFont="1" applyBorder="1" applyAlignment="1">
      <alignment horizontal="right" vertical="top" wrapText="1"/>
    </xf>
    <xf numFmtId="3" fontId="6" fillId="4" borderId="84" xfId="3" applyNumberFormat="1" applyFont="1" applyBorder="1" applyAlignment="1">
      <alignment horizontal="right" vertical="top" wrapText="1"/>
    </xf>
    <xf numFmtId="3" fontId="3" fillId="3" borderId="85" xfId="2" applyNumberFormat="1" applyBorder="1" applyAlignment="1">
      <alignment vertical="top" wrapText="1"/>
    </xf>
    <xf numFmtId="3" fontId="6" fillId="4" borderId="68" xfId="3" applyNumberFormat="1" applyFont="1" applyBorder="1" applyAlignment="1">
      <alignment vertical="top" wrapText="1"/>
    </xf>
    <xf numFmtId="3" fontId="6" fillId="4" borderId="83" xfId="3" applyNumberFormat="1" applyFont="1" applyBorder="1" applyAlignment="1">
      <alignment vertical="top" wrapText="1"/>
    </xf>
    <xf numFmtId="3" fontId="6" fillId="4" borderId="84" xfId="3" applyNumberFormat="1" applyFont="1" applyBorder="1" applyAlignment="1">
      <alignment vertical="top" wrapText="1"/>
    </xf>
    <xf numFmtId="3" fontId="3" fillId="3" borderId="70" xfId="2" applyNumberFormat="1" applyBorder="1" applyAlignment="1">
      <alignment horizontal="right" vertical="top" wrapText="1"/>
    </xf>
    <xf numFmtId="3" fontId="3" fillId="3" borderId="71" xfId="2" applyNumberFormat="1" applyBorder="1" applyAlignment="1">
      <alignment vertical="top" wrapText="1"/>
    </xf>
    <xf numFmtId="0" fontId="29" fillId="0" borderId="14" xfId="0" applyFont="1" applyFill="1" applyBorder="1" applyAlignment="1">
      <alignment horizontal="left" vertical="center"/>
    </xf>
    <xf numFmtId="0" fontId="0" fillId="13" borderId="12" xfId="0" applyFill="1" applyBorder="1" applyAlignment="1">
      <alignment horizontal="center" vertical="top" wrapText="1"/>
    </xf>
    <xf numFmtId="0" fontId="40" fillId="0" borderId="0" xfId="0" applyFont="1"/>
    <xf numFmtId="0" fontId="4" fillId="8" borderId="90" xfId="0" applyFont="1" applyFill="1" applyBorder="1"/>
    <xf numFmtId="0" fontId="4" fillId="8" borderId="88" xfId="0" applyFont="1" applyFill="1" applyBorder="1"/>
    <xf numFmtId="0" fontId="4" fillId="8" borderId="89" xfId="0" applyFont="1" applyFill="1" applyBorder="1"/>
    <xf numFmtId="0" fontId="0" fillId="18" borderId="73" xfId="0" applyFill="1" applyBorder="1"/>
    <xf numFmtId="0" fontId="0" fillId="18" borderId="12" xfId="0" applyFill="1" applyBorder="1"/>
    <xf numFmtId="0" fontId="25" fillId="13" borderId="12" xfId="0" applyFont="1" applyFill="1" applyBorder="1"/>
    <xf numFmtId="0" fontId="0" fillId="18" borderId="12" xfId="0" applyFill="1" applyBorder="1" applyAlignment="1">
      <alignment wrapText="1"/>
    </xf>
    <xf numFmtId="0" fontId="42" fillId="16" borderId="73" xfId="5" applyFont="1" applyFill="1" applyBorder="1" applyAlignment="1">
      <alignment vertical="center"/>
    </xf>
    <xf numFmtId="0" fontId="42" fillId="16" borderId="12" xfId="5" applyFont="1" applyFill="1" applyBorder="1" applyAlignment="1">
      <alignment vertical="center"/>
    </xf>
    <xf numFmtId="0" fontId="0" fillId="13" borderId="12" xfId="0" applyFill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14" borderId="78" xfId="0" applyFont="1" applyFill="1" applyBorder="1" applyProtection="1"/>
    <xf numFmtId="0" fontId="4" fillId="14" borderId="20" xfId="0" applyFont="1" applyFill="1" applyBorder="1" applyProtection="1"/>
    <xf numFmtId="0" fontId="4" fillId="14" borderId="72" xfId="0" applyFont="1" applyFill="1" applyBorder="1" applyProtection="1"/>
    <xf numFmtId="166" fontId="4" fillId="14" borderId="12" xfId="4" applyNumberFormat="1" applyFont="1" applyFill="1" applyBorder="1" applyProtection="1"/>
    <xf numFmtId="166" fontId="4" fillId="14" borderId="78" xfId="4" applyNumberFormat="1" applyFont="1" applyFill="1" applyBorder="1" applyProtection="1"/>
    <xf numFmtId="0" fontId="4" fillId="0" borderId="78" xfId="0" applyFont="1" applyBorder="1" applyProtection="1"/>
    <xf numFmtId="0" fontId="4" fillId="17" borderId="20" xfId="0" applyFont="1" applyFill="1" applyBorder="1" applyProtection="1"/>
    <xf numFmtId="0" fontId="4" fillId="17" borderId="72" xfId="0" applyFont="1" applyFill="1" applyBorder="1" applyProtection="1"/>
    <xf numFmtId="0" fontId="4" fillId="16" borderId="78" xfId="0" applyFont="1" applyFill="1" applyBorder="1" applyProtection="1"/>
    <xf numFmtId="0" fontId="4" fillId="16" borderId="20" xfId="0" applyFont="1" applyFill="1" applyBorder="1" applyProtection="1"/>
    <xf numFmtId="0" fontId="0" fillId="16" borderId="72" xfId="0" applyFont="1" applyFill="1" applyBorder="1" applyProtection="1"/>
    <xf numFmtId="0" fontId="4" fillId="16" borderId="77" xfId="0" applyFont="1" applyFill="1" applyBorder="1" applyProtection="1"/>
    <xf numFmtId="0" fontId="4" fillId="16" borderId="10" xfId="0" applyFont="1" applyFill="1" applyBorder="1" applyProtection="1"/>
    <xf numFmtId="0" fontId="0" fillId="16" borderId="74" xfId="0" applyFont="1" applyFill="1" applyBorder="1" applyProtection="1"/>
    <xf numFmtId="0" fontId="0" fillId="0" borderId="2" xfId="0" applyFont="1" applyBorder="1" applyAlignment="1">
      <alignment horizontal="left"/>
    </xf>
    <xf numFmtId="3" fontId="3" fillId="3" borderId="54" xfId="2" applyNumberFormat="1" applyBorder="1" applyAlignment="1">
      <alignment horizontal="right"/>
    </xf>
    <xf numFmtId="3" fontId="3" fillId="3" borderId="64" xfId="2" applyNumberFormat="1" applyBorder="1" applyProtection="1">
      <protection locked="0"/>
    </xf>
    <xf numFmtId="3" fontId="3" fillId="3" borderId="21" xfId="2" applyNumberFormat="1" applyBorder="1" applyProtection="1">
      <protection locked="0"/>
    </xf>
    <xf numFmtId="3" fontId="3" fillId="3" borderId="53" xfId="2" applyNumberFormat="1" applyBorder="1" applyProtection="1">
      <protection locked="0"/>
    </xf>
    <xf numFmtId="0" fontId="18" fillId="0" borderId="0" xfId="0" applyFont="1" applyAlignment="1" applyProtection="1">
      <alignment vertical="center"/>
    </xf>
    <xf numFmtId="0" fontId="0" fillId="0" borderId="0" xfId="0" applyProtection="1"/>
    <xf numFmtId="166" fontId="4" fillId="14" borderId="86" xfId="4" applyNumberFormat="1" applyFont="1" applyFill="1" applyBorder="1" applyProtection="1"/>
    <xf numFmtId="0" fontId="37" fillId="0" borderId="0" xfId="0" applyFont="1" applyFill="1" applyProtection="1"/>
    <xf numFmtId="0" fontId="4" fillId="0" borderId="78" xfId="0" applyFont="1" applyFill="1" applyBorder="1" applyProtection="1"/>
    <xf numFmtId="0" fontId="0" fillId="0" borderId="78" xfId="0" applyBorder="1" applyProtection="1"/>
    <xf numFmtId="0" fontId="0" fillId="0" borderId="20" xfId="0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Alignment="1" applyProtection="1"/>
    <xf numFmtId="164" fontId="31" fillId="13" borderId="92" xfId="6" applyFont="1" applyFill="1" applyBorder="1" applyAlignment="1">
      <alignment horizontal="left" vertical="center"/>
    </xf>
    <xf numFmtId="0" fontId="28" fillId="11" borderId="49" xfId="0" applyFont="1" applyFill="1" applyBorder="1" applyAlignment="1">
      <alignment horizontal="left" vertical="center"/>
    </xf>
    <xf numFmtId="0" fontId="31" fillId="13" borderId="81" xfId="0" applyFont="1" applyFill="1" applyBorder="1" applyAlignment="1">
      <alignment horizontal="center" vertical="center"/>
    </xf>
    <xf numFmtId="164" fontId="38" fillId="15" borderId="93" xfId="6" applyFont="1" applyFill="1" applyBorder="1" applyAlignment="1" applyProtection="1">
      <alignment horizontal="center" vertical="center" wrapText="1"/>
    </xf>
    <xf numFmtId="0" fontId="28" fillId="11" borderId="49" xfId="0" applyFont="1" applyFill="1" applyBorder="1" applyAlignment="1">
      <alignment horizontal="center" vertical="center"/>
    </xf>
    <xf numFmtId="164" fontId="31" fillId="13" borderId="81" xfId="6" applyFont="1" applyFill="1" applyBorder="1" applyAlignment="1">
      <alignment horizontal="center" vertical="center"/>
    </xf>
    <xf numFmtId="166" fontId="43" fillId="14" borderId="12" xfId="4" applyNumberFormat="1" applyFont="1" applyFill="1" applyBorder="1" applyProtection="1"/>
    <xf numFmtId="166" fontId="43" fillId="14" borderId="78" xfId="4" applyNumberFormat="1" applyFont="1" applyFill="1" applyBorder="1" applyProtection="1"/>
    <xf numFmtId="166" fontId="43" fillId="14" borderId="86" xfId="4" applyNumberFormat="1" applyFont="1" applyFill="1" applyBorder="1" applyProtection="1"/>
    <xf numFmtId="166" fontId="39" fillId="17" borderId="12" xfId="4" applyNumberFormat="1" applyFont="1" applyFill="1" applyBorder="1" applyProtection="1"/>
    <xf numFmtId="166" fontId="39" fillId="17" borderId="78" xfId="4" applyNumberFormat="1" applyFont="1" applyFill="1" applyBorder="1" applyProtection="1"/>
    <xf numFmtId="166" fontId="39" fillId="17" borderId="86" xfId="4" applyNumberFormat="1" applyFont="1" applyFill="1" applyBorder="1" applyProtection="1"/>
    <xf numFmtId="166" fontId="44" fillId="16" borderId="12" xfId="4" applyNumberFormat="1" applyFont="1" applyFill="1" applyBorder="1" applyProtection="1"/>
    <xf numFmtId="166" fontId="44" fillId="16" borderId="78" xfId="4" applyNumberFormat="1" applyFont="1" applyFill="1" applyBorder="1" applyProtection="1"/>
    <xf numFmtId="166" fontId="44" fillId="16" borderId="86" xfId="4" applyNumberFormat="1" applyFont="1" applyFill="1" applyBorder="1" applyProtection="1"/>
    <xf numFmtId="166" fontId="44" fillId="16" borderId="12" xfId="4" applyNumberFormat="1" applyFont="1" applyFill="1" applyBorder="1" applyAlignment="1" applyProtection="1">
      <alignment horizontal="center"/>
    </xf>
    <xf numFmtId="166" fontId="44" fillId="16" borderId="78" xfId="4" applyNumberFormat="1" applyFont="1" applyFill="1" applyBorder="1" applyAlignment="1" applyProtection="1">
      <alignment horizontal="center"/>
    </xf>
    <xf numFmtId="166" fontId="44" fillId="16" borderId="86" xfId="4" applyNumberFormat="1" applyFont="1" applyFill="1" applyBorder="1" applyAlignment="1" applyProtection="1">
      <alignment horizontal="center"/>
    </xf>
    <xf numFmtId="166" fontId="44" fillId="16" borderId="59" xfId="4" applyNumberFormat="1" applyFont="1" applyFill="1" applyBorder="1" applyProtection="1"/>
    <xf numFmtId="166" fontId="44" fillId="16" borderId="77" xfId="4" applyNumberFormat="1" applyFont="1" applyFill="1" applyBorder="1" applyProtection="1"/>
    <xf numFmtId="166" fontId="44" fillId="16" borderId="91" xfId="4" applyNumberFormat="1" applyFont="1" applyFill="1" applyBorder="1" applyProtection="1"/>
    <xf numFmtId="166" fontId="44" fillId="16" borderId="87" xfId="4" applyNumberFormat="1" applyFont="1" applyFill="1" applyBorder="1" applyProtection="1"/>
    <xf numFmtId="3" fontId="46" fillId="12" borderId="19" xfId="0" applyNumberFormat="1" applyFont="1" applyFill="1" applyBorder="1" applyAlignment="1">
      <alignment horizontal="center" vertical="center"/>
    </xf>
    <xf numFmtId="0" fontId="45" fillId="17" borderId="14" xfId="0" applyFont="1" applyFill="1" applyBorder="1" applyAlignment="1">
      <alignment horizontal="center" vertical="center"/>
    </xf>
    <xf numFmtId="0" fontId="45" fillId="17" borderId="2" xfId="0" applyFont="1" applyFill="1" applyBorder="1" applyAlignment="1">
      <alignment horizontal="center" vertical="center"/>
    </xf>
    <xf numFmtId="3" fontId="45" fillId="17" borderId="14" xfId="0" applyNumberFormat="1" applyFont="1" applyFill="1" applyBorder="1" applyAlignment="1">
      <alignment horizontal="center" vertical="center"/>
    </xf>
    <xf numFmtId="3" fontId="45" fillId="17" borderId="2" xfId="0" applyNumberFormat="1" applyFont="1" applyFill="1" applyBorder="1" applyAlignment="1">
      <alignment horizontal="center" vertical="center"/>
    </xf>
    <xf numFmtId="0" fontId="45" fillId="17" borderId="80" xfId="0" applyFont="1" applyFill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78" xfId="0" applyNumberFormat="1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 wrapText="1"/>
    </xf>
    <xf numFmtId="166" fontId="44" fillId="0" borderId="77" xfId="4" applyNumberFormat="1" applyFont="1" applyFill="1" applyBorder="1" applyProtection="1"/>
    <xf numFmtId="166" fontId="44" fillId="0" borderId="10" xfId="4" applyNumberFormat="1" applyFont="1" applyFill="1" applyBorder="1" applyProtection="1"/>
    <xf numFmtId="166" fontId="39" fillId="17" borderId="12" xfId="4" applyNumberFormat="1" applyFont="1" applyFill="1" applyBorder="1" applyAlignment="1" applyProtection="1">
      <alignment horizontal="center"/>
    </xf>
    <xf numFmtId="166" fontId="44" fillId="16" borderId="59" xfId="4" applyNumberFormat="1" applyFont="1" applyFill="1" applyBorder="1" applyAlignment="1" applyProtection="1">
      <alignment horizontal="center"/>
    </xf>
    <xf numFmtId="166" fontId="43" fillId="14" borderId="12" xfId="4" applyNumberFormat="1" applyFont="1" applyFill="1" applyBorder="1" applyAlignment="1" applyProtection="1">
      <alignment horizontal="center"/>
    </xf>
    <xf numFmtId="166" fontId="44" fillId="17" borderId="12" xfId="4" applyNumberFormat="1" applyFont="1" applyFill="1" applyBorder="1" applyProtection="1"/>
    <xf numFmtId="166" fontId="44" fillId="17" borderId="78" xfId="4" applyNumberFormat="1" applyFont="1" applyFill="1" applyBorder="1" applyProtection="1"/>
    <xf numFmtId="166" fontId="25" fillId="0" borderId="10" xfId="4" applyNumberFormat="1" applyFont="1" applyFill="1" applyBorder="1" applyProtection="1"/>
    <xf numFmtId="166" fontId="25" fillId="0" borderId="13" xfId="4" applyNumberFormat="1" applyFont="1" applyFill="1" applyBorder="1" applyProtection="1"/>
    <xf numFmtId="0" fontId="47" fillId="0" borderId="94" xfId="0" applyFont="1" applyBorder="1" applyAlignment="1">
      <alignment horizontal="justify" vertical="center" wrapText="1"/>
    </xf>
    <xf numFmtId="0" fontId="47" fillId="0" borderId="95" xfId="0" applyFont="1" applyBorder="1" applyAlignment="1">
      <alignment horizontal="justify" vertical="center" wrapText="1"/>
    </xf>
    <xf numFmtId="0" fontId="0" fillId="13" borderId="72" xfId="0" applyFont="1" applyFill="1" applyBorder="1" applyAlignment="1" applyProtection="1">
      <alignment wrapText="1"/>
    </xf>
    <xf numFmtId="0" fontId="0" fillId="13" borderId="72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31" fillId="13" borderId="81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center"/>
    </xf>
    <xf numFmtId="0" fontId="45" fillId="17" borderId="79" xfId="0" applyFont="1" applyFill="1" applyBorder="1" applyAlignment="1">
      <alignment horizontal="center" vertical="center"/>
    </xf>
    <xf numFmtId="0" fontId="27" fillId="0" borderId="0" xfId="0" applyFont="1"/>
    <xf numFmtId="0" fontId="34" fillId="0" borderId="0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27" fillId="13" borderId="79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top" wrapText="1"/>
    </xf>
    <xf numFmtId="164" fontId="31" fillId="13" borderId="92" xfId="6" applyFont="1" applyFill="1" applyBorder="1" applyAlignment="1">
      <alignment horizontal="left" vertical="center"/>
    </xf>
    <xf numFmtId="0" fontId="31" fillId="13" borderId="81" xfId="0" applyFont="1" applyFill="1" applyBorder="1" applyAlignment="1">
      <alignment horizontal="center" vertical="center"/>
    </xf>
    <xf numFmtId="164" fontId="38" fillId="15" borderId="93" xfId="6" applyFont="1" applyFill="1" applyBorder="1" applyAlignment="1" applyProtection="1">
      <alignment horizontal="center" vertical="center" wrapText="1"/>
    </xf>
    <xf numFmtId="0" fontId="45" fillId="17" borderId="79" xfId="0" applyFont="1" applyFill="1" applyBorder="1" applyAlignment="1">
      <alignment horizontal="center" vertical="center"/>
    </xf>
    <xf numFmtId="167" fontId="27" fillId="0" borderId="0" xfId="0" applyNumberFormat="1" applyFont="1"/>
    <xf numFmtId="0" fontId="5" fillId="6" borderId="0" xfId="0" applyFont="1" applyFill="1" applyAlignment="1">
      <alignment horizontal="center" vertical="top" wrapText="1"/>
    </xf>
    <xf numFmtId="0" fontId="28" fillId="11" borderId="6" xfId="0" applyFont="1" applyFill="1" applyBorder="1" applyAlignment="1">
      <alignment horizontal="center" vertical="center" textRotation="90" wrapText="1"/>
    </xf>
    <xf numFmtId="0" fontId="28" fillId="11" borderId="13" xfId="0" applyFont="1" applyFill="1" applyBorder="1" applyAlignment="1">
      <alignment horizontal="center" vertical="center" textRotation="90" wrapText="1"/>
    </xf>
    <xf numFmtId="0" fontId="28" fillId="11" borderId="5" xfId="0" applyFont="1" applyFill="1" applyBorder="1" applyAlignment="1">
      <alignment horizontal="center" vertical="center" textRotation="90" wrapText="1"/>
    </xf>
    <xf numFmtId="0" fontId="41" fillId="0" borderId="0" xfId="5"/>
    <xf numFmtId="0" fontId="0" fillId="0" borderId="12" xfId="0" applyBorder="1"/>
    <xf numFmtId="0" fontId="0" fillId="0" borderId="15" xfId="0" applyBorder="1"/>
    <xf numFmtId="0" fontId="31" fillId="19" borderId="81" xfId="0" applyFont="1" applyFill="1" applyBorder="1" applyAlignment="1">
      <alignment horizontal="center" vertical="center"/>
    </xf>
    <xf numFmtId="164" fontId="31" fillId="19" borderId="0" xfId="6" applyFont="1" applyFill="1" applyBorder="1" applyAlignment="1">
      <alignment horizontal="center" vertical="center"/>
    </xf>
    <xf numFmtId="0" fontId="28" fillId="11" borderId="4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34" fillId="21" borderId="0" xfId="0" applyFont="1" applyFill="1" applyBorder="1" applyAlignment="1">
      <alignment horizontal="center" vertical="center"/>
    </xf>
    <xf numFmtId="0" fontId="34" fillId="21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50" fillId="0" borderId="0" xfId="0" applyFont="1" applyAlignment="1"/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69" fontId="22" fillId="0" borderId="0" xfId="0" applyNumberFormat="1" applyFont="1" applyAlignment="1"/>
    <xf numFmtId="0" fontId="51" fillId="0" borderId="0" xfId="0" applyFont="1" applyAlignment="1">
      <alignment horizontal="left"/>
    </xf>
    <xf numFmtId="0" fontId="53" fillId="0" borderId="0" xfId="0" applyFont="1" applyAlignment="1"/>
    <xf numFmtId="0" fontId="28" fillId="22" borderId="2" xfId="0" applyFont="1" applyFill="1" applyBorder="1" applyAlignment="1">
      <alignment horizontal="left" vertical="center"/>
    </xf>
    <xf numFmtId="0" fontId="28" fillId="22" borderId="2" xfId="0" applyFont="1" applyFill="1" applyBorder="1" applyAlignment="1">
      <alignment horizontal="center" vertical="center" wrapText="1"/>
    </xf>
    <xf numFmtId="0" fontId="28" fillId="22" borderId="0" xfId="0" applyFont="1" applyFill="1" applyBorder="1" applyAlignment="1">
      <alignment horizontal="center" vertical="center"/>
    </xf>
    <xf numFmtId="0" fontId="28" fillId="22" borderId="0" xfId="0" applyFont="1" applyFill="1" applyBorder="1" applyAlignment="1">
      <alignment horizontal="center" vertical="center" wrapText="1"/>
    </xf>
    <xf numFmtId="0" fontId="28" fillId="22" borderId="54" xfId="0" applyFont="1" applyFill="1" applyBorder="1" applyAlignment="1">
      <alignment horizontal="left" vertical="center"/>
    </xf>
    <xf numFmtId="0" fontId="29" fillId="22" borderId="54" xfId="0" applyFont="1" applyFill="1" applyBorder="1" applyAlignment="1">
      <alignment horizontal="left" vertical="center"/>
    </xf>
    <xf numFmtId="0" fontId="27" fillId="0" borderId="0" xfId="0" applyFont="1" applyAlignment="1"/>
    <xf numFmtId="9" fontId="54" fillId="0" borderId="101" xfId="7" applyNumberFormat="1" applyFont="1" applyBorder="1" applyAlignment="1">
      <alignment horizontal="center" vertical="center"/>
    </xf>
    <xf numFmtId="170" fontId="54" fillId="0" borderId="12" xfId="7" applyNumberFormat="1" applyFont="1" applyBorder="1" applyAlignment="1">
      <alignment horizontal="center" vertical="center"/>
    </xf>
    <xf numFmtId="0" fontId="54" fillId="0" borderId="23" xfId="7" applyFont="1" applyBorder="1" applyAlignment="1">
      <alignment horizontal="center" vertical="center"/>
    </xf>
    <xf numFmtId="9" fontId="54" fillId="0" borderId="23" xfId="7" applyNumberFormat="1" applyFont="1" applyBorder="1" applyAlignment="1">
      <alignment horizontal="center" vertical="center"/>
    </xf>
    <xf numFmtId="9" fontId="54" fillId="0" borderId="24" xfId="7" applyNumberFormat="1" applyFont="1" applyBorder="1" applyAlignment="1">
      <alignment horizontal="center" vertical="center"/>
    </xf>
    <xf numFmtId="0" fontId="54" fillId="0" borderId="24" xfId="7" applyFont="1" applyBorder="1" applyAlignment="1">
      <alignment horizontal="center" vertical="center"/>
    </xf>
    <xf numFmtId="0" fontId="5" fillId="0" borderId="0" xfId="7" applyFont="1"/>
    <xf numFmtId="0" fontId="55" fillId="0" borderId="0" xfId="7" applyFont="1"/>
    <xf numFmtId="0" fontId="56" fillId="23" borderId="98" xfId="7" applyFont="1" applyFill="1" applyBorder="1" applyAlignment="1">
      <alignment horizontal="justify" vertical="center" wrapText="1"/>
    </xf>
    <xf numFmtId="0" fontId="56" fillId="23" borderId="46" xfId="7" applyFont="1" applyFill="1" applyBorder="1" applyAlignment="1">
      <alignment horizontal="justify" vertical="center" wrapText="1"/>
    </xf>
    <xf numFmtId="0" fontId="56" fillId="23" borderId="99" xfId="7" applyFont="1" applyFill="1" applyBorder="1" applyAlignment="1">
      <alignment horizontal="justify" vertical="center" wrapText="1"/>
    </xf>
    <xf numFmtId="0" fontId="56" fillId="23" borderId="12" xfId="7" applyFont="1" applyFill="1" applyBorder="1" applyAlignment="1">
      <alignment horizontal="justify" vertical="center" wrapText="1"/>
    </xf>
    <xf numFmtId="0" fontId="56" fillId="23" borderId="23" xfId="7" applyFont="1" applyFill="1" applyBorder="1" applyAlignment="1">
      <alignment horizontal="justify" vertical="center" wrapText="1"/>
    </xf>
    <xf numFmtId="0" fontId="56" fillId="0" borderId="96" xfId="7" applyFont="1" applyBorder="1" applyAlignment="1" applyProtection="1">
      <alignment vertical="center" wrapText="1"/>
      <protection locked="0"/>
    </xf>
    <xf numFmtId="3" fontId="56" fillId="0" borderId="100" xfId="7" applyNumberFormat="1" applyFont="1" applyBorder="1" applyAlignment="1">
      <alignment vertical="center" wrapText="1"/>
    </xf>
    <xf numFmtId="0" fontId="56" fillId="0" borderId="99" xfId="7" applyFont="1" applyBorder="1" applyAlignment="1" applyProtection="1">
      <alignment vertical="center" wrapText="1"/>
      <protection locked="0"/>
    </xf>
    <xf numFmtId="3" fontId="56" fillId="0" borderId="12" xfId="7" applyNumberFormat="1" applyFont="1" applyBorder="1" applyAlignment="1">
      <alignment vertical="center" wrapText="1"/>
    </xf>
    <xf numFmtId="0" fontId="56" fillId="0" borderId="42" xfId="7" applyFont="1" applyBorder="1" applyAlignment="1" applyProtection="1">
      <alignment vertical="center" wrapText="1"/>
      <protection locked="0"/>
    </xf>
    <xf numFmtId="3" fontId="56" fillId="0" borderId="99" xfId="7" applyNumberFormat="1" applyFont="1" applyBorder="1" applyAlignment="1">
      <alignment vertical="center" wrapText="1"/>
    </xf>
    <xf numFmtId="3" fontId="56" fillId="0" borderId="99" xfId="7" applyNumberFormat="1" applyFont="1" applyBorder="1" applyAlignment="1" applyProtection="1">
      <alignment vertical="center" wrapText="1"/>
      <protection locked="0"/>
    </xf>
    <xf numFmtId="3" fontId="56" fillId="0" borderId="12" xfId="7" applyNumberFormat="1" applyFont="1" applyBorder="1" applyAlignment="1" applyProtection="1">
      <alignment vertical="center" wrapText="1"/>
      <protection locked="0"/>
    </xf>
    <xf numFmtId="0" fontId="56" fillId="0" borderId="97" xfId="7" applyFont="1" applyBorder="1" applyAlignment="1" applyProtection="1">
      <alignment vertical="center" wrapText="1"/>
      <protection locked="0"/>
    </xf>
    <xf numFmtId="3" fontId="56" fillId="0" borderId="102" xfId="7" applyNumberFormat="1" applyFont="1" applyBorder="1" applyAlignment="1" applyProtection="1">
      <alignment vertical="center" wrapText="1"/>
      <protection locked="0"/>
    </xf>
    <xf numFmtId="3" fontId="56" fillId="0" borderId="59" xfId="7" applyNumberFormat="1" applyFont="1" applyBorder="1" applyAlignment="1" applyProtection="1">
      <alignment vertical="center" wrapText="1"/>
      <protection locked="0"/>
    </xf>
    <xf numFmtId="0" fontId="56" fillId="0" borderId="43" xfId="7" applyFont="1" applyBorder="1" applyAlignment="1" applyProtection="1">
      <alignment vertical="center" wrapText="1"/>
      <protection locked="0"/>
    </xf>
    <xf numFmtId="3" fontId="56" fillId="0" borderId="59" xfId="7" applyNumberFormat="1" applyFont="1" applyBorder="1" applyAlignment="1">
      <alignment vertical="center" wrapText="1"/>
    </xf>
    <xf numFmtId="0" fontId="56" fillId="0" borderId="17" xfId="7" applyFont="1" applyBorder="1" applyAlignment="1" applyProtection="1">
      <alignment vertical="center" wrapText="1"/>
      <protection locked="0"/>
    </xf>
    <xf numFmtId="0" fontId="56" fillId="0" borderId="90" xfId="7" applyFont="1" applyBorder="1" applyAlignment="1" applyProtection="1">
      <alignment vertical="center" wrapText="1"/>
      <protection locked="0"/>
    </xf>
    <xf numFmtId="3" fontId="56" fillId="0" borderId="88" xfId="7" applyNumberFormat="1" applyFont="1" applyBorder="1"/>
    <xf numFmtId="0" fontId="57" fillId="0" borderId="88" xfId="7" applyFont="1" applyBorder="1"/>
    <xf numFmtId="0" fontId="57" fillId="23" borderId="89" xfId="7" applyFont="1" applyFill="1" applyBorder="1"/>
    <xf numFmtId="9" fontId="54" fillId="0" borderId="23" xfId="7" applyNumberFormat="1" applyFont="1" applyFill="1" applyBorder="1" applyAlignment="1">
      <alignment horizontal="center" vertical="center"/>
    </xf>
    <xf numFmtId="0" fontId="56" fillId="0" borderId="99" xfId="7" applyFont="1" applyFill="1" applyBorder="1" applyAlignment="1" applyProtection="1">
      <alignment vertical="center" wrapText="1"/>
      <protection locked="0"/>
    </xf>
    <xf numFmtId="9" fontId="54" fillId="0" borderId="24" xfId="7" applyNumberFormat="1" applyFont="1" applyFill="1" applyBorder="1" applyAlignment="1">
      <alignment horizontal="center" vertical="center"/>
    </xf>
    <xf numFmtId="0" fontId="56" fillId="0" borderId="102" xfId="7" applyFont="1" applyFill="1" applyBorder="1" applyAlignment="1" applyProtection="1">
      <alignment vertical="center" wrapText="1"/>
      <protection locked="0"/>
    </xf>
    <xf numFmtId="170" fontId="54" fillId="0" borderId="12" xfId="7" applyNumberFormat="1" applyFont="1" applyFill="1" applyBorder="1" applyAlignment="1">
      <alignment horizontal="center" vertical="center"/>
    </xf>
    <xf numFmtId="170" fontId="54" fillId="0" borderId="59" xfId="7" applyNumberFormat="1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4" fontId="27" fillId="13" borderId="79" xfId="0" applyNumberFormat="1" applyFont="1" applyFill="1" applyBorder="1" applyAlignment="1">
      <alignment horizontal="center" vertical="center"/>
    </xf>
    <xf numFmtId="4" fontId="58" fillId="13" borderId="79" xfId="0" applyNumberFormat="1" applyFont="1" applyFill="1" applyBorder="1" applyAlignment="1">
      <alignment horizontal="center" vertical="center"/>
    </xf>
    <xf numFmtId="4" fontId="27" fillId="0" borderId="79" xfId="0" applyNumberFormat="1" applyFont="1" applyFill="1" applyBorder="1" applyAlignment="1">
      <alignment horizontal="center" vertical="center"/>
    </xf>
    <xf numFmtId="0" fontId="27" fillId="0" borderId="14" xfId="0" applyFont="1" applyBorder="1"/>
    <xf numFmtId="4" fontId="27" fillId="13" borderId="81" xfId="0" applyNumberFormat="1" applyFont="1" applyFill="1" applyBorder="1" applyAlignment="1">
      <alignment horizontal="center" vertical="center"/>
    </xf>
    <xf numFmtId="4" fontId="58" fillId="13" borderId="81" xfId="0" applyNumberFormat="1" applyFont="1" applyFill="1" applyBorder="1" applyAlignment="1">
      <alignment horizontal="center" vertical="center"/>
    </xf>
    <xf numFmtId="0" fontId="27" fillId="0" borderId="7" xfId="0" applyFont="1" applyBorder="1"/>
    <xf numFmtId="4" fontId="27" fillId="13" borderId="103" xfId="0" applyNumberFormat="1" applyFont="1" applyFill="1" applyBorder="1" applyAlignment="1">
      <alignment horizontal="center" vertical="center"/>
    </xf>
    <xf numFmtId="4" fontId="27" fillId="13" borderId="104" xfId="0" applyNumberFormat="1" applyFont="1" applyFill="1" applyBorder="1" applyAlignment="1">
      <alignment horizontal="center" vertical="center"/>
    </xf>
    <xf numFmtId="0" fontId="28" fillId="11" borderId="0" xfId="0" applyFont="1" applyFill="1"/>
    <xf numFmtId="0" fontId="32" fillId="11" borderId="17" xfId="0" applyFont="1" applyFill="1" applyBorder="1"/>
    <xf numFmtId="0" fontId="32" fillId="11" borderId="19" xfId="0" applyFont="1" applyFill="1" applyBorder="1"/>
    <xf numFmtId="4" fontId="27" fillId="0" borderId="0" xfId="0" applyNumberFormat="1" applyFont="1"/>
    <xf numFmtId="4" fontId="28" fillId="11" borderId="0" xfId="0" applyNumberFormat="1" applyFont="1" applyFill="1"/>
    <xf numFmtId="4" fontId="59" fillId="0" borderId="0" xfId="0" applyNumberFormat="1" applyFont="1"/>
    <xf numFmtId="0" fontId="41" fillId="0" borderId="0" xfId="5" applyBorder="1"/>
    <xf numFmtId="4" fontId="28" fillId="11" borderId="0" xfId="0" applyNumberFormat="1" applyFont="1" applyFill="1" applyAlignment="1">
      <alignment wrapText="1"/>
    </xf>
    <xf numFmtId="10" fontId="27" fillId="0" borderId="0" xfId="0" applyNumberFormat="1" applyFont="1"/>
    <xf numFmtId="10" fontId="59" fillId="0" borderId="0" xfId="0" applyNumberFormat="1" applyFont="1"/>
    <xf numFmtId="4" fontId="46" fillId="12" borderId="19" xfId="0" applyNumberFormat="1" applyFont="1" applyFill="1" applyBorder="1" applyAlignment="1">
      <alignment horizontal="center" vertical="center"/>
    </xf>
    <xf numFmtId="4" fontId="27" fillId="0" borderId="14" xfId="0" applyNumberFormat="1" applyFont="1" applyBorder="1"/>
    <xf numFmtId="4" fontId="27" fillId="0" borderId="7" xfId="0" applyNumberFormat="1" applyFont="1" applyBorder="1"/>
    <xf numFmtId="4" fontId="56" fillId="0" borderId="99" xfId="7" applyNumberFormat="1" applyFont="1" applyBorder="1" applyAlignment="1" applyProtection="1">
      <alignment vertical="center" wrapText="1"/>
      <protection locked="0"/>
    </xf>
    <xf numFmtId="4" fontId="56" fillId="0" borderId="102" xfId="7" applyNumberFormat="1" applyFont="1" applyBorder="1" applyAlignment="1" applyProtection="1">
      <alignment vertical="center" wrapText="1"/>
      <protection locked="0"/>
    </xf>
    <xf numFmtId="4" fontId="46" fillId="12" borderId="17" xfId="0" applyNumberFormat="1" applyFont="1" applyFill="1" applyBorder="1" applyAlignment="1">
      <alignment horizontal="center" vertical="center"/>
    </xf>
    <xf numFmtId="4" fontId="59" fillId="0" borderId="0" xfId="0" applyNumberFormat="1" applyFont="1" applyFill="1"/>
    <xf numFmtId="0" fontId="32" fillId="12" borderId="0" xfId="0" applyFont="1" applyFill="1"/>
    <xf numFmtId="0" fontId="28" fillId="12" borderId="0" xfId="0" applyFont="1" applyFill="1"/>
    <xf numFmtId="0" fontId="32" fillId="12" borderId="81" xfId="0" applyFont="1" applyFill="1" applyBorder="1" applyAlignment="1">
      <alignment horizontal="left" vertical="center"/>
    </xf>
    <xf numFmtId="10" fontId="29" fillId="0" borderId="0" xfId="0" applyNumberFormat="1" applyFont="1" applyFill="1"/>
    <xf numFmtId="4" fontId="29" fillId="0" borderId="0" xfId="0" applyNumberFormat="1" applyFont="1"/>
    <xf numFmtId="0" fontId="28" fillId="11" borderId="0" xfId="0" applyFont="1" applyFill="1" applyAlignment="1">
      <alignment wrapText="1"/>
    </xf>
    <xf numFmtId="164" fontId="59" fillId="11" borderId="0" xfId="6" applyFont="1" applyFill="1"/>
    <xf numFmtId="0" fontId="59" fillId="11" borderId="0" xfId="0" applyFont="1" applyFill="1"/>
    <xf numFmtId="164" fontId="0" fillId="0" borderId="0" xfId="6" applyFont="1"/>
    <xf numFmtId="164" fontId="0" fillId="0" borderId="0" xfId="6" applyFont="1" applyBorder="1"/>
    <xf numFmtId="164" fontId="0" fillId="0" borderId="15" xfId="6" applyFont="1" applyBorder="1"/>
    <xf numFmtId="0" fontId="0" fillId="0" borderId="14" xfId="0" applyBorder="1"/>
    <xf numFmtId="0" fontId="0" fillId="0" borderId="2" xfId="0" applyBorder="1"/>
    <xf numFmtId="0" fontId="0" fillId="0" borderId="7" xfId="0" applyBorder="1"/>
    <xf numFmtId="0" fontId="0" fillId="0" borderId="1" xfId="0" applyBorder="1"/>
    <xf numFmtId="0" fontId="0" fillId="24" borderId="6" xfId="0" applyFill="1" applyBorder="1"/>
    <xf numFmtId="0" fontId="0" fillId="24" borderId="13" xfId="0" applyFill="1" applyBorder="1"/>
    <xf numFmtId="0" fontId="0" fillId="24" borderId="5" xfId="0" applyFill="1" applyBorder="1"/>
    <xf numFmtId="0" fontId="60" fillId="24" borderId="6" xfId="0" applyFont="1" applyFill="1" applyBorder="1"/>
    <xf numFmtId="0" fontId="60" fillId="24" borderId="13" xfId="0" applyFont="1" applyFill="1" applyBorder="1"/>
    <xf numFmtId="0" fontId="60" fillId="24" borderId="5" xfId="0" applyFont="1" applyFill="1" applyBorder="1"/>
    <xf numFmtId="164" fontId="0" fillId="0" borderId="2" xfId="6" applyFont="1" applyBorder="1"/>
    <xf numFmtId="164" fontId="0" fillId="0" borderId="1" xfId="6" applyFont="1" applyBorder="1"/>
    <xf numFmtId="0" fontId="4" fillId="0" borderId="0" xfId="0" applyFont="1"/>
    <xf numFmtId="164" fontId="4" fillId="0" borderId="0" xfId="0" applyNumberFormat="1" applyFont="1"/>
    <xf numFmtId="0" fontId="4" fillId="0" borderId="14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15" xfId="0" applyFont="1" applyBorder="1"/>
    <xf numFmtId="164" fontId="0" fillId="0" borderId="0" xfId="0" applyNumberFormat="1" applyBorder="1"/>
    <xf numFmtId="164" fontId="4" fillId="0" borderId="0" xfId="0" applyNumberFormat="1" applyFont="1" applyBorder="1"/>
    <xf numFmtId="164" fontId="4" fillId="0" borderId="15" xfId="0" applyNumberFormat="1" applyFont="1" applyBorder="1"/>
    <xf numFmtId="0" fontId="0" fillId="0" borderId="0" xfId="0" applyFill="1"/>
    <xf numFmtId="3" fontId="6" fillId="0" borderId="0" xfId="3" applyNumberFormat="1" applyFont="1" applyFill="1" applyBorder="1" applyAlignment="1">
      <alignment vertical="top"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7" xfId="0" applyFill="1" applyBorder="1"/>
    <xf numFmtId="0" fontId="62" fillId="11" borderId="49" xfId="0" applyFont="1" applyFill="1" applyBorder="1" applyAlignment="1">
      <alignment vertical="center" wrapText="1"/>
    </xf>
    <xf numFmtId="0" fontId="31" fillId="0" borderId="105" xfId="0" applyFont="1" applyFill="1" applyBorder="1" applyAlignment="1">
      <alignment horizontal="left" vertical="center"/>
    </xf>
    <xf numFmtId="0" fontId="31" fillId="0" borderId="105" xfId="0" applyFont="1" applyFill="1" applyBorder="1" applyAlignment="1">
      <alignment horizontal="center" vertical="center"/>
    </xf>
    <xf numFmtId="3" fontId="31" fillId="0" borderId="105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164" fontId="31" fillId="0" borderId="0" xfId="6" applyFont="1" applyFill="1" applyBorder="1" applyAlignment="1">
      <alignment horizontal="center" vertical="center"/>
    </xf>
    <xf numFmtId="164" fontId="38" fillId="0" borderId="0" xfId="6" applyFont="1" applyFill="1" applyBorder="1" applyAlignment="1" applyProtection="1">
      <alignment horizontal="center" vertical="center" wrapText="1"/>
    </xf>
    <xf numFmtId="164" fontId="49" fillId="0" borderId="0" xfId="6" applyFont="1" applyFill="1" applyBorder="1" applyAlignment="1">
      <alignment horizontal="left" vertical="center"/>
    </xf>
    <xf numFmtId="0" fontId="4" fillId="9" borderId="0" xfId="0" applyFont="1" applyFill="1" applyBorder="1"/>
    <xf numFmtId="0" fontId="4" fillId="20" borderId="0" xfId="0" applyFont="1" applyFill="1" applyBorder="1"/>
    <xf numFmtId="0" fontId="4" fillId="25" borderId="0" xfId="0" applyFont="1" applyFill="1" applyBorder="1"/>
    <xf numFmtId="0" fontId="0" fillId="9" borderId="0" xfId="0" applyFill="1" applyBorder="1"/>
    <xf numFmtId="0" fontId="0" fillId="20" borderId="0" xfId="0" applyFill="1" applyBorder="1"/>
    <xf numFmtId="0" fontId="0" fillId="25" borderId="0" xfId="0" applyFill="1" applyBorder="1"/>
    <xf numFmtId="0" fontId="0" fillId="25" borderId="2" xfId="0" applyFill="1" applyBorder="1"/>
    <xf numFmtId="0" fontId="4" fillId="9" borderId="15" xfId="0" applyFont="1" applyFill="1" applyBorder="1"/>
    <xf numFmtId="164" fontId="4" fillId="9" borderId="15" xfId="6" applyFont="1" applyFill="1" applyBorder="1"/>
    <xf numFmtId="0" fontId="4" fillId="20" borderId="15" xfId="0" applyFont="1" applyFill="1" applyBorder="1"/>
    <xf numFmtId="164" fontId="4" fillId="20" borderId="15" xfId="6" applyFont="1" applyFill="1" applyBorder="1"/>
    <xf numFmtId="0" fontId="4" fillId="25" borderId="15" xfId="0" applyFont="1" applyFill="1" applyBorder="1"/>
    <xf numFmtId="0" fontId="0" fillId="25" borderId="14" xfId="0" applyFill="1" applyBorder="1"/>
    <xf numFmtId="0" fontId="0" fillId="25" borderId="7" xfId="0" applyFill="1" applyBorder="1"/>
    <xf numFmtId="0" fontId="4" fillId="9" borderId="14" xfId="0" applyFont="1" applyFill="1" applyBorder="1"/>
    <xf numFmtId="0" fontId="4" fillId="9" borderId="2" xfId="0" applyFont="1" applyFill="1" applyBorder="1"/>
    <xf numFmtId="0" fontId="0" fillId="9" borderId="14" xfId="0" applyFill="1" applyBorder="1"/>
    <xf numFmtId="0" fontId="0" fillId="9" borderId="7" xfId="0" applyFill="1" applyBorder="1"/>
    <xf numFmtId="164" fontId="4" fillId="9" borderId="1" xfId="6" applyFont="1" applyFill="1" applyBorder="1"/>
    <xf numFmtId="0" fontId="4" fillId="20" borderId="2" xfId="0" applyFont="1" applyFill="1" applyBorder="1"/>
    <xf numFmtId="0" fontId="0" fillId="20" borderId="14" xfId="0" applyFill="1" applyBorder="1"/>
    <xf numFmtId="0" fontId="0" fillId="20" borderId="7" xfId="0" applyFill="1" applyBorder="1"/>
    <xf numFmtId="164" fontId="4" fillId="20" borderId="1" xfId="6" applyFont="1" applyFill="1" applyBorder="1"/>
    <xf numFmtId="0" fontId="0" fillId="27" borderId="14" xfId="0" applyFill="1" applyBorder="1"/>
    <xf numFmtId="0" fontId="0" fillId="27" borderId="0" xfId="0" applyFill="1" applyBorder="1"/>
    <xf numFmtId="164" fontId="0" fillId="9" borderId="2" xfId="6" applyFont="1" applyFill="1" applyBorder="1"/>
    <xf numFmtId="164" fontId="0" fillId="20" borderId="2" xfId="6" applyFont="1" applyFill="1" applyBorder="1"/>
    <xf numFmtId="164" fontId="0" fillId="25" borderId="0" xfId="6" applyFont="1" applyFill="1" applyBorder="1"/>
    <xf numFmtId="164" fontId="0" fillId="25" borderId="2" xfId="6" applyFont="1" applyFill="1" applyBorder="1"/>
    <xf numFmtId="168" fontId="0" fillId="9" borderId="0" xfId="0" applyNumberFormat="1" applyFill="1" applyBorder="1"/>
    <xf numFmtId="168" fontId="0" fillId="20" borderId="0" xfId="0" applyNumberFormat="1" applyFill="1" applyBorder="1"/>
    <xf numFmtId="164" fontId="4" fillId="25" borderId="15" xfId="6" applyFont="1" applyFill="1" applyBorder="1"/>
    <xf numFmtId="164" fontId="4" fillId="25" borderId="1" xfId="6" applyFont="1" applyFill="1" applyBorder="1"/>
    <xf numFmtId="164" fontId="0" fillId="28" borderId="54" xfId="0" applyNumberFormat="1" applyFill="1" applyBorder="1"/>
    <xf numFmtId="0" fontId="0" fillId="28" borderId="54" xfId="0" applyFill="1" applyBorder="1"/>
    <xf numFmtId="164" fontId="0" fillId="28" borderId="4" xfId="0" applyNumberFormat="1" applyFill="1" applyBorder="1"/>
    <xf numFmtId="0" fontId="0" fillId="29" borderId="14" xfId="0" applyFill="1" applyBorder="1"/>
    <xf numFmtId="0" fontId="0" fillId="29" borderId="0" xfId="0" applyFill="1" applyBorder="1"/>
    <xf numFmtId="0" fontId="0" fillId="29" borderId="2" xfId="0" applyFill="1" applyBorder="1"/>
    <xf numFmtId="0" fontId="4" fillId="29" borderId="14" xfId="0" applyFont="1" applyFill="1" applyBorder="1"/>
    <xf numFmtId="0" fontId="4" fillId="29" borderId="0" xfId="0" applyFont="1" applyFill="1" applyBorder="1"/>
    <xf numFmtId="0" fontId="4" fillId="29" borderId="2" xfId="0" applyFont="1" applyFill="1" applyBorder="1"/>
    <xf numFmtId="0" fontId="0" fillId="29" borderId="7" xfId="0" applyFill="1" applyBorder="1"/>
    <xf numFmtId="0" fontId="0" fillId="29" borderId="15" xfId="0" applyFill="1" applyBorder="1"/>
    <xf numFmtId="0" fontId="0" fillId="29" borderId="1" xfId="0" applyFill="1" applyBorder="1"/>
    <xf numFmtId="0" fontId="31" fillId="0" borderId="0" xfId="0" applyFont="1" applyFill="1" applyBorder="1" applyAlignment="1">
      <alignment vertical="center"/>
    </xf>
    <xf numFmtId="164" fontId="63" fillId="0" borderId="0" xfId="6" applyFont="1" applyFill="1" applyBorder="1" applyAlignment="1">
      <alignment horizontal="center" vertical="center"/>
    </xf>
    <xf numFmtId="164" fontId="0" fillId="20" borderId="78" xfId="6" applyFont="1" applyFill="1" applyBorder="1"/>
    <xf numFmtId="164" fontId="54" fillId="0" borderId="0" xfId="6" applyFont="1" applyFill="1" applyBorder="1" applyAlignment="1" applyProtection="1">
      <alignment horizontal="center" vertical="center" wrapText="1"/>
    </xf>
    <xf numFmtId="164" fontId="0" fillId="0" borderId="12" xfId="6" applyFont="1" applyFill="1" applyBorder="1"/>
    <xf numFmtId="164" fontId="0" fillId="27" borderId="15" xfId="6" applyFont="1" applyFill="1" applyBorder="1"/>
    <xf numFmtId="0" fontId="62" fillId="11" borderId="39" xfId="0" applyFont="1" applyFill="1" applyBorder="1" applyAlignment="1">
      <alignment vertical="center"/>
    </xf>
    <xf numFmtId="0" fontId="62" fillId="11" borderId="13" xfId="0" applyFont="1" applyFill="1" applyBorder="1" applyAlignment="1">
      <alignment horizontal="center" vertical="center" wrapText="1"/>
    </xf>
    <xf numFmtId="0" fontId="62" fillId="11" borderId="13" xfId="0" applyFont="1" applyFill="1" applyBorder="1" applyAlignment="1">
      <alignment vertical="center"/>
    </xf>
    <xf numFmtId="0" fontId="62" fillId="11" borderId="5" xfId="0" applyFont="1" applyFill="1" applyBorder="1" applyAlignment="1">
      <alignment vertical="center"/>
    </xf>
    <xf numFmtId="0" fontId="31" fillId="13" borderId="92" xfId="0" applyFont="1" applyFill="1" applyBorder="1" applyAlignment="1">
      <alignment horizontal="left" vertical="center"/>
    </xf>
    <xf numFmtId="0" fontId="64" fillId="0" borderId="2" xfId="5" applyFont="1" applyFill="1" applyBorder="1"/>
    <xf numFmtId="0" fontId="0" fillId="0" borderId="45" xfId="0" applyBorder="1"/>
    <xf numFmtId="164" fontId="0" fillId="0" borderId="45" xfId="6" applyFont="1" applyBorder="1"/>
    <xf numFmtId="164" fontId="63" fillId="0" borderId="15" xfId="6" applyFont="1" applyFill="1" applyBorder="1" applyAlignment="1">
      <alignment horizontal="center" vertical="center"/>
    </xf>
    <xf numFmtId="164" fontId="61" fillId="0" borderId="15" xfId="0" applyNumberFormat="1" applyFont="1" applyFill="1" applyBorder="1"/>
    <xf numFmtId="0" fontId="61" fillId="0" borderId="1" xfId="0" applyFont="1" applyFill="1" applyBorder="1"/>
    <xf numFmtId="4" fontId="54" fillId="13" borderId="12" xfId="3" applyNumberFormat="1" applyFont="1" applyFill="1" applyBorder="1" applyAlignment="1">
      <alignment vertical="top" wrapText="1"/>
    </xf>
    <xf numFmtId="4" fontId="6" fillId="13" borderId="12" xfId="3" applyNumberFormat="1" applyFont="1" applyFill="1" applyBorder="1" applyAlignment="1">
      <alignment vertical="top" wrapText="1"/>
    </xf>
    <xf numFmtId="4" fontId="0" fillId="13" borderId="12" xfId="0" applyNumberFormat="1" applyFill="1" applyBorder="1"/>
    <xf numFmtId="0" fontId="4" fillId="17" borderId="12" xfId="0" applyFont="1" applyFill="1" applyBorder="1"/>
    <xf numFmtId="0" fontId="0" fillId="0" borderId="72" xfId="0" applyFont="1" applyBorder="1" applyAlignment="1">
      <alignment horizontal="center"/>
    </xf>
    <xf numFmtId="0" fontId="0" fillId="0" borderId="44" xfId="0" applyBorder="1"/>
    <xf numFmtId="0" fontId="62" fillId="11" borderId="62" xfId="0" applyFont="1" applyFill="1" applyBorder="1" applyAlignment="1">
      <alignment vertical="center"/>
    </xf>
    <xf numFmtId="0" fontId="4" fillId="27" borderId="4" xfId="0" applyFont="1" applyFill="1" applyBorder="1"/>
    <xf numFmtId="0" fontId="0" fillId="13" borderId="0" xfId="0" applyFill="1"/>
    <xf numFmtId="164" fontId="0" fillId="13" borderId="0" xfId="6" applyFont="1" applyFill="1"/>
    <xf numFmtId="4" fontId="51" fillId="0" borderId="0" xfId="0" applyNumberFormat="1" applyFont="1"/>
    <xf numFmtId="0" fontId="0" fillId="0" borderId="49" xfId="0" applyBorder="1" applyAlignment="1">
      <alignment wrapText="1"/>
    </xf>
    <xf numFmtId="0" fontId="0" fillId="13" borderId="6" xfId="0" applyFill="1" applyBorder="1"/>
    <xf numFmtId="10" fontId="0" fillId="13" borderId="5" xfId="0" applyNumberFormat="1" applyFill="1" applyBorder="1"/>
    <xf numFmtId="0" fontId="0" fillId="13" borderId="7" xfId="0" applyFill="1" applyBorder="1"/>
    <xf numFmtId="10" fontId="0" fillId="13" borderId="1" xfId="0" applyNumberFormat="1" applyFill="1" applyBorder="1"/>
    <xf numFmtId="0" fontId="4" fillId="24" borderId="6" xfId="0" applyFont="1" applyFill="1" applyBorder="1"/>
    <xf numFmtId="0" fontId="4" fillId="24" borderId="13" xfId="0" applyFont="1" applyFill="1" applyBorder="1"/>
    <xf numFmtId="0" fontId="4" fillId="24" borderId="5" xfId="0" applyFont="1" applyFill="1" applyBorder="1"/>
    <xf numFmtId="0" fontId="54" fillId="0" borderId="23" xfId="0" applyFont="1" applyBorder="1" applyAlignment="1">
      <alignment vertical="top" wrapText="1"/>
    </xf>
    <xf numFmtId="0" fontId="54" fillId="0" borderId="24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01" xfId="0" applyBorder="1" applyAlignment="1">
      <alignment wrapText="1"/>
    </xf>
    <xf numFmtId="0" fontId="65" fillId="0" borderId="0" xfId="0" applyFont="1"/>
    <xf numFmtId="0" fontId="66" fillId="0" borderId="0" xfId="0" applyFont="1"/>
    <xf numFmtId="0" fontId="0" fillId="0" borderId="76" xfId="0" applyBorder="1" applyAlignment="1">
      <alignment horizontal="left"/>
    </xf>
    <xf numFmtId="0" fontId="67" fillId="0" borderId="0" xfId="0" applyFont="1"/>
    <xf numFmtId="3" fontId="6" fillId="13" borderId="5" xfId="3" applyNumberFormat="1" applyFont="1" applyFill="1" applyBorder="1" applyAlignment="1">
      <alignment vertical="top" wrapText="1"/>
    </xf>
    <xf numFmtId="0" fontId="0" fillId="13" borderId="14" xfId="0" applyFill="1" applyBorder="1"/>
    <xf numFmtId="0" fontId="0" fillId="13" borderId="2" xfId="0" applyFill="1" applyBorder="1"/>
    <xf numFmtId="0" fontId="0" fillId="13" borderId="1" xfId="0" applyFill="1" applyBorder="1"/>
    <xf numFmtId="0" fontId="9" fillId="7" borderId="42" xfId="0" applyFont="1" applyFill="1" applyBorder="1" applyAlignment="1">
      <alignment horizontal="right" vertical="center" wrapText="1"/>
    </xf>
    <xf numFmtId="0" fontId="9" fillId="7" borderId="20" xfId="0" applyFont="1" applyFill="1" applyBorder="1" applyAlignment="1">
      <alignment horizontal="right" vertical="center" wrapText="1"/>
    </xf>
    <xf numFmtId="49" fontId="9" fillId="13" borderId="12" xfId="0" applyNumberFormat="1" applyFont="1" applyFill="1" applyBorder="1" applyAlignment="1">
      <alignment horizontal="center" vertical="center" wrapText="1"/>
    </xf>
    <xf numFmtId="49" fontId="9" fillId="13" borderId="2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right" vertical="center" wrapText="1"/>
    </xf>
    <xf numFmtId="0" fontId="9" fillId="7" borderId="39" xfId="0" applyFont="1" applyFill="1" applyBorder="1" applyAlignment="1">
      <alignment horizontal="right" vertical="center" wrapText="1"/>
    </xf>
    <xf numFmtId="0" fontId="10" fillId="13" borderId="40" xfId="0" applyFont="1" applyFill="1" applyBorder="1" applyAlignment="1">
      <alignment horizontal="center" vertical="center" wrapText="1"/>
    </xf>
    <xf numFmtId="0" fontId="10" fillId="13" borderId="4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4" borderId="33" xfId="3" applyFont="1" applyBorder="1" applyAlignment="1">
      <alignment horizontal="center" vertical="center" wrapText="1"/>
    </xf>
    <xf numFmtId="0" fontId="14" fillId="4" borderId="36" xfId="3" applyFont="1" applyBorder="1" applyAlignment="1">
      <alignment horizontal="center" vertical="center" wrapText="1"/>
    </xf>
    <xf numFmtId="0" fontId="16" fillId="2" borderId="47" xfId="1" applyFont="1" applyBorder="1" applyAlignment="1">
      <alignment horizontal="center" vertical="center" wrapText="1"/>
    </xf>
    <xf numFmtId="0" fontId="16" fillId="2" borderId="48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1" fillId="13" borderId="12" xfId="0" applyFont="1" applyFill="1" applyBorder="1" applyAlignment="1">
      <alignment horizontal="left" vertical="center" wrapText="1"/>
    </xf>
    <xf numFmtId="0" fontId="11" fillId="13" borderId="23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>
      <alignment horizontal="right" vertical="center" wrapText="1"/>
    </xf>
    <xf numFmtId="0" fontId="9" fillId="7" borderId="44" xfId="0" applyFont="1" applyFill="1" applyBorder="1" applyAlignment="1">
      <alignment horizontal="right" vertical="center" wrapText="1"/>
    </xf>
    <xf numFmtId="0" fontId="11" fillId="13" borderId="45" xfId="0" applyFont="1" applyFill="1" applyBorder="1" applyAlignment="1">
      <alignment horizontal="left" vertical="center"/>
    </xf>
    <xf numFmtId="0" fontId="11" fillId="13" borderId="4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3" borderId="32" xfId="2" applyFont="1" applyBorder="1" applyAlignment="1">
      <alignment horizontal="center" vertical="center" wrapText="1"/>
    </xf>
    <xf numFmtId="0" fontId="15" fillId="3" borderId="28" xfId="2" applyFont="1" applyBorder="1" applyAlignment="1">
      <alignment horizontal="center" vertical="center" wrapText="1"/>
    </xf>
    <xf numFmtId="0" fontId="41" fillId="13" borderId="12" xfId="5" applyFill="1" applyBorder="1" applyAlignment="1">
      <alignment horizontal="center" vertical="center" wrapText="1"/>
    </xf>
    <xf numFmtId="0" fontId="26" fillId="14" borderId="11" xfId="0" applyFont="1" applyFill="1" applyBorder="1" applyAlignment="1" applyProtection="1">
      <alignment horizontal="center" vertical="center"/>
    </xf>
    <xf numFmtId="0" fontId="4" fillId="0" borderId="78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72" xfId="0" applyFont="1" applyBorder="1" applyAlignment="1" applyProtection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9" fillId="10" borderId="17" xfId="0" applyFont="1" applyFill="1" applyBorder="1" applyAlignment="1">
      <alignment horizontal="left"/>
    </xf>
    <xf numFmtId="0" fontId="19" fillId="10" borderId="18" xfId="0" applyFont="1" applyFill="1" applyBorder="1" applyAlignment="1">
      <alignment horizontal="left"/>
    </xf>
    <xf numFmtId="0" fontId="19" fillId="10" borderId="0" xfId="0" applyFont="1" applyFill="1" applyAlignment="1">
      <alignment horizontal="left"/>
    </xf>
    <xf numFmtId="0" fontId="19" fillId="9" borderId="17" xfId="0" applyFont="1" applyFill="1" applyBorder="1" applyAlignment="1">
      <alignment horizontal="left"/>
    </xf>
    <xf numFmtId="0" fontId="19" fillId="9" borderId="18" xfId="0" applyFont="1" applyFill="1" applyBorder="1" applyAlignment="1">
      <alignment horizontal="left"/>
    </xf>
    <xf numFmtId="3" fontId="0" fillId="0" borderId="0" xfId="0" applyNumberFormat="1" applyAlignment="1">
      <alignment horizontal="center" vertical="center"/>
    </xf>
    <xf numFmtId="0" fontId="4" fillId="17" borderId="12" xfId="0" applyFont="1" applyFill="1" applyBorder="1" applyAlignment="1">
      <alignment horizontal="center"/>
    </xf>
    <xf numFmtId="0" fontId="19" fillId="9" borderId="0" xfId="0" applyFont="1" applyFill="1" applyAlignment="1">
      <alignment horizontal="left"/>
    </xf>
    <xf numFmtId="0" fontId="56" fillId="23" borderId="78" xfId="7" applyFont="1" applyFill="1" applyBorder="1" applyAlignment="1">
      <alignment horizontal="center"/>
    </xf>
    <xf numFmtId="0" fontId="56" fillId="23" borderId="60" xfId="7" applyFont="1" applyFill="1" applyBorder="1" applyAlignment="1">
      <alignment horizontal="center" wrapText="1"/>
    </xf>
    <xf numFmtId="0" fontId="56" fillId="23" borderId="41" xfId="7" applyFont="1" applyFill="1" applyBorder="1" applyAlignment="1">
      <alignment horizontal="center" wrapText="1"/>
    </xf>
    <xf numFmtId="0" fontId="56" fillId="23" borderId="60" xfId="7" applyFont="1" applyFill="1" applyBorder="1" applyAlignment="1">
      <alignment horizontal="center"/>
    </xf>
    <xf numFmtId="0" fontId="56" fillId="23" borderId="40" xfId="7" applyFont="1" applyFill="1" applyBorder="1" applyAlignment="1">
      <alignment horizontal="center"/>
    </xf>
    <xf numFmtId="0" fontId="56" fillId="23" borderId="41" xfId="7" applyFont="1" applyFill="1" applyBorder="1" applyAlignment="1">
      <alignment horizontal="center"/>
    </xf>
    <xf numFmtId="3" fontId="57" fillId="23" borderId="90" xfId="7" applyNumberFormat="1" applyFont="1" applyFill="1" applyBorder="1" applyAlignment="1">
      <alignment horizontal="center"/>
    </xf>
    <xf numFmtId="0" fontId="57" fillId="23" borderId="89" xfId="7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wrapText="1"/>
    </xf>
    <xf numFmtId="0" fontId="4" fillId="20" borderId="0" xfId="0" applyFont="1" applyFill="1" applyBorder="1" applyAlignment="1">
      <alignment horizontal="center" wrapText="1"/>
    </xf>
    <xf numFmtId="0" fontId="4" fillId="26" borderId="13" xfId="0" applyFont="1" applyFill="1" applyBorder="1" applyAlignment="1">
      <alignment horizontal="center" wrapText="1"/>
    </xf>
    <xf numFmtId="0" fontId="4" fillId="26" borderId="0" xfId="0" applyFont="1" applyFill="1" applyBorder="1" applyAlignment="1">
      <alignment horizontal="center" wrapText="1"/>
    </xf>
    <xf numFmtId="0" fontId="4" fillId="26" borderId="6" xfId="0" applyFont="1" applyFill="1" applyBorder="1" applyAlignment="1">
      <alignment horizontal="center" wrapText="1"/>
    </xf>
    <xf numFmtId="0" fontId="4" fillId="26" borderId="14" xfId="0" applyFont="1" applyFill="1" applyBorder="1" applyAlignment="1">
      <alignment horizontal="center" wrapText="1"/>
    </xf>
    <xf numFmtId="0" fontId="4" fillId="26" borderId="5" xfId="0" applyFont="1" applyFill="1" applyBorder="1" applyAlignment="1">
      <alignment horizontal="center" wrapText="1"/>
    </xf>
    <xf numFmtId="0" fontId="4" fillId="26" borderId="2" xfId="0" applyFont="1" applyFill="1" applyBorder="1" applyAlignment="1">
      <alignment horizontal="center" wrapText="1"/>
    </xf>
    <xf numFmtId="0" fontId="4" fillId="9" borderId="13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center" wrapText="1"/>
    </xf>
    <xf numFmtId="0" fontId="4" fillId="20" borderId="6" xfId="0" applyFont="1" applyFill="1" applyBorder="1" applyAlignment="1">
      <alignment horizontal="center" wrapText="1"/>
    </xf>
    <xf numFmtId="0" fontId="4" fillId="20" borderId="14" xfId="0" applyFont="1" applyFill="1" applyBorder="1" applyAlignment="1">
      <alignment horizontal="center" wrapText="1"/>
    </xf>
    <xf numFmtId="0" fontId="4" fillId="20" borderId="5" xfId="0" applyFont="1" applyFill="1" applyBorder="1" applyAlignment="1">
      <alignment horizontal="center" wrapText="1"/>
    </xf>
    <xf numFmtId="0" fontId="4" fillId="20" borderId="2" xfId="0" applyFont="1" applyFill="1" applyBorder="1" applyAlignment="1">
      <alignment horizontal="center" wrapText="1"/>
    </xf>
    <xf numFmtId="0" fontId="4" fillId="25" borderId="13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center" wrapText="1"/>
    </xf>
    <xf numFmtId="0" fontId="4" fillId="25" borderId="5" xfId="0" applyFont="1" applyFill="1" applyBorder="1" applyAlignment="1">
      <alignment horizontal="center" wrapText="1"/>
    </xf>
    <xf numFmtId="0" fontId="4" fillId="25" borderId="2" xfId="0" applyFont="1" applyFill="1" applyBorder="1" applyAlignment="1">
      <alignment horizontal="center" wrapText="1"/>
    </xf>
    <xf numFmtId="0" fontId="4" fillId="28" borderId="3" xfId="0" applyFont="1" applyFill="1" applyBorder="1" applyAlignment="1">
      <alignment horizontal="center" wrapText="1"/>
    </xf>
    <xf numFmtId="0" fontId="4" fillId="28" borderId="54" xfId="0" applyFont="1" applyFill="1" applyBorder="1" applyAlignment="1">
      <alignment horizontal="center" wrapText="1"/>
    </xf>
    <xf numFmtId="0" fontId="4" fillId="25" borderId="6" xfId="0" applyFont="1" applyFill="1" applyBorder="1" applyAlignment="1">
      <alignment horizontal="center" wrapText="1"/>
    </xf>
    <xf numFmtId="0" fontId="4" fillId="25" borderId="14" xfId="0" applyFont="1" applyFill="1" applyBorder="1" applyAlignment="1">
      <alignment horizontal="center" wrapText="1"/>
    </xf>
  </cellXfs>
  <cellStyles count="8">
    <cellStyle name="Čiarka" xfId="4" builtinId="3"/>
    <cellStyle name="Dobrá" xfId="1" builtinId="26"/>
    <cellStyle name="Hypertextové prepojenie" xfId="5" builtinId="8"/>
    <cellStyle name="Mena" xfId="6" builtinId="4"/>
    <cellStyle name="Normálna" xfId="0" builtinId="0"/>
    <cellStyle name="Normálne 2" xfId="7" xr:uid="{5F653309-9564-41CE-883B-FF47F66A0328}"/>
    <cellStyle name="Poznámka" xfId="3" builtinId="10"/>
    <cellStyle name="Výpočet" xfId="2" builtinId="22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jec.info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gnessa.com/video-reklama?gclid=EAIaIQobChMIm_i21IrA6gIVGLLtCh0XkgZAEAMYAiAAEgISs_D_BwE" TargetMode="External"/><Relationship Id="rId2" Type="http://schemas.openxmlformats.org/officeDocument/2006/relationships/hyperlink" Target="https://creativum.sk/cennik/" TargetMode="External"/><Relationship Id="rId1" Type="http://schemas.openxmlformats.org/officeDocument/2006/relationships/hyperlink" Target="https://fabervisum.sk/komercne-reklamne-video-tvorba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orpsicloud.sk/cloud-computing/cennik.aspx" TargetMode="External"/><Relationship Id="rId2" Type="http://schemas.openxmlformats.org/officeDocument/2006/relationships/hyperlink" Target="https://calculator.aws/" TargetMode="External"/><Relationship Id="rId1" Type="http://schemas.openxmlformats.org/officeDocument/2006/relationships/hyperlink" Target="https://azure.microsoft.com/en-us/pricing/calculator/?service=virtual-machin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fsr.sk/files/archiv/39/Informatizacia2.0_reviziavydavkov_20200320.pdf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R46"/>
  <sheetViews>
    <sheetView view="pageBreakPreview" topLeftCell="A7" zoomScale="90" zoomScaleNormal="100" zoomScaleSheetLayoutView="90" workbookViewId="0">
      <selection activeCell="C26" sqref="C26:I26"/>
    </sheetView>
  </sheetViews>
  <sheetFormatPr defaultColWidth="8.85546875" defaultRowHeight="15" x14ac:dyDescent="0.25"/>
  <cols>
    <col min="2" max="2" width="11.7109375" customWidth="1"/>
    <col min="4" max="4" width="6.42578125" customWidth="1"/>
    <col min="6" max="6" width="7.7109375" customWidth="1"/>
    <col min="7" max="7" width="12.28515625" customWidth="1"/>
    <col min="8" max="8" width="6" customWidth="1"/>
    <col min="9" max="9" width="14.28515625" customWidth="1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170"/>
      <c r="K1" s="171"/>
      <c r="L1" s="171"/>
      <c r="M1" s="171"/>
      <c r="N1" s="171"/>
      <c r="O1" s="171"/>
      <c r="P1" s="171"/>
      <c r="Q1" s="171"/>
      <c r="R1" s="171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171"/>
      <c r="K3" s="171"/>
      <c r="L3" s="171"/>
      <c r="M3" s="171"/>
      <c r="N3" s="171"/>
      <c r="O3" s="171"/>
      <c r="P3" s="171"/>
      <c r="Q3" s="171"/>
      <c r="R3" s="171"/>
    </row>
    <row r="4" spans="1:18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171"/>
      <c r="K4" s="171"/>
      <c r="L4" s="171"/>
      <c r="M4" s="171"/>
      <c r="N4" s="171"/>
      <c r="O4" s="171"/>
      <c r="P4" s="171"/>
      <c r="Q4" s="171"/>
      <c r="R4" s="171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171"/>
      <c r="K5" s="171"/>
      <c r="L5" s="171"/>
      <c r="M5" s="171"/>
      <c r="N5" s="171"/>
      <c r="O5" s="171"/>
      <c r="P5" s="171"/>
      <c r="Q5" s="171"/>
      <c r="R5" s="171"/>
    </row>
    <row r="6" spans="1:18" ht="62.1" customHeight="1" x14ac:dyDescent="0.5">
      <c r="A6" s="498" t="s">
        <v>76</v>
      </c>
      <c r="B6" s="498"/>
      <c r="C6" s="498"/>
      <c r="D6" s="498"/>
      <c r="E6" s="498"/>
      <c r="F6" s="498"/>
      <c r="G6" s="498"/>
      <c r="H6" s="498"/>
      <c r="I6" s="498"/>
      <c r="J6" s="171"/>
      <c r="K6" s="171"/>
      <c r="L6" s="171"/>
      <c r="M6" s="171"/>
      <c r="N6" s="171"/>
      <c r="O6" s="171"/>
      <c r="P6" s="171"/>
      <c r="Q6" s="171"/>
      <c r="R6" s="171"/>
    </row>
    <row r="7" spans="1:18" ht="18.75" customHeight="1" x14ac:dyDescent="0.3">
      <c r="A7" s="512" t="s">
        <v>32</v>
      </c>
      <c r="B7" s="512"/>
      <c r="C7" s="512"/>
      <c r="D7" s="512"/>
      <c r="E7" s="512"/>
      <c r="F7" s="512"/>
      <c r="G7" s="512"/>
      <c r="H7" s="512"/>
      <c r="I7" s="512"/>
      <c r="J7" s="171"/>
      <c r="K7" s="171"/>
      <c r="L7" s="171"/>
      <c r="M7" s="171"/>
      <c r="N7" s="171"/>
      <c r="O7" s="171"/>
      <c r="P7" s="171"/>
      <c r="Q7" s="171"/>
      <c r="R7" s="171"/>
    </row>
    <row r="8" spans="1:18" x14ac:dyDescent="0.25">
      <c r="A8" s="499" t="s">
        <v>27</v>
      </c>
      <c r="B8" s="499"/>
      <c r="C8" s="499"/>
      <c r="D8" s="499"/>
      <c r="E8" s="499"/>
      <c r="F8" s="499"/>
      <c r="G8" s="499"/>
      <c r="H8" s="499"/>
      <c r="I8" s="499"/>
      <c r="J8" s="171"/>
      <c r="K8" s="171"/>
      <c r="L8" s="171"/>
      <c r="M8" s="171"/>
      <c r="N8" s="171"/>
      <c r="O8" s="171"/>
      <c r="P8" s="171"/>
      <c r="Q8" s="171"/>
      <c r="R8" s="171"/>
    </row>
    <row r="9" spans="1:18" ht="15" customHeight="1" x14ac:dyDescent="0.25">
      <c r="A9" s="499"/>
      <c r="B9" s="499"/>
      <c r="C9" s="499"/>
      <c r="D9" s="499"/>
      <c r="E9" s="499"/>
      <c r="F9" s="499"/>
      <c r="G9" s="499"/>
      <c r="H9" s="499"/>
      <c r="I9" s="499"/>
      <c r="J9" s="171"/>
      <c r="K9" s="171"/>
      <c r="L9" s="171"/>
      <c r="M9" s="171"/>
      <c r="N9" s="171"/>
      <c r="O9" s="171"/>
      <c r="P9" s="171"/>
      <c r="Q9" s="171"/>
      <c r="R9" s="171"/>
    </row>
    <row r="10" spans="1:18" ht="48.6" customHeight="1" x14ac:dyDescent="0.25">
      <c r="A10" s="499"/>
      <c r="B10" s="499"/>
      <c r="C10" s="499"/>
      <c r="D10" s="499"/>
      <c r="E10" s="499"/>
      <c r="F10" s="499"/>
      <c r="G10" s="499"/>
      <c r="H10" s="499"/>
      <c r="I10" s="499"/>
      <c r="J10" s="171"/>
      <c r="K10" s="171"/>
      <c r="L10" s="171"/>
      <c r="M10" s="171"/>
      <c r="N10" s="171"/>
      <c r="O10" s="171"/>
      <c r="P10" s="171"/>
      <c r="Q10" s="171"/>
      <c r="R10" s="171"/>
    </row>
    <row r="11" spans="1:18" ht="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171"/>
      <c r="K11" s="171"/>
      <c r="L11" s="171"/>
      <c r="M11" s="171"/>
      <c r="N11" s="171"/>
      <c r="O11" s="171"/>
      <c r="P11" s="171"/>
      <c r="Q11" s="171"/>
      <c r="R11" s="171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171"/>
      <c r="K12" s="171"/>
      <c r="L12" s="171"/>
      <c r="M12" s="171"/>
      <c r="N12" s="171"/>
      <c r="O12" s="171"/>
      <c r="P12" s="171"/>
      <c r="Q12" s="171"/>
      <c r="R12" s="171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171"/>
      <c r="K13" s="171"/>
      <c r="L13" s="171"/>
      <c r="M13" s="171"/>
      <c r="N13" s="171"/>
      <c r="O13" s="171"/>
      <c r="P13" s="171"/>
      <c r="Q13" s="171"/>
      <c r="R13" s="171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171"/>
      <c r="K14" s="171"/>
      <c r="L14" s="171"/>
      <c r="M14" s="171"/>
      <c r="N14" s="171"/>
      <c r="O14" s="171"/>
      <c r="P14" s="171"/>
      <c r="Q14" s="171"/>
      <c r="R14" s="171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171"/>
      <c r="K15" s="171"/>
      <c r="L15" s="171"/>
      <c r="M15" s="171"/>
      <c r="N15" s="171"/>
      <c r="O15" s="171"/>
      <c r="P15" s="171"/>
      <c r="Q15" s="171"/>
      <c r="R15" s="171"/>
    </row>
    <row r="16" spans="1:18" x14ac:dyDescent="0.25">
      <c r="B16" s="4"/>
      <c r="C16" s="4"/>
      <c r="D16" s="4"/>
      <c r="E16" s="4"/>
      <c r="F16" s="4"/>
      <c r="G16" s="4"/>
      <c r="H16" s="4"/>
      <c r="I16" s="4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x14ac:dyDescent="0.25">
      <c r="B17" s="4"/>
      <c r="C17" s="4"/>
      <c r="D17" s="4"/>
      <c r="E17" s="4"/>
      <c r="F17" s="4"/>
      <c r="G17" s="4"/>
      <c r="H17" s="4"/>
      <c r="I17" s="4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8" ht="15.75" thickBot="1" x14ac:dyDescent="0.3">
      <c r="B18" s="4"/>
      <c r="C18" s="4"/>
      <c r="D18" s="4"/>
      <c r="E18" s="4"/>
      <c r="F18" s="4"/>
      <c r="G18" s="4"/>
      <c r="H18" s="4"/>
      <c r="I18" s="4"/>
      <c r="J18" s="171"/>
      <c r="K18" s="171"/>
      <c r="L18" s="171"/>
      <c r="M18" s="171"/>
      <c r="N18" s="171"/>
      <c r="O18" s="171"/>
      <c r="P18" s="171"/>
      <c r="Q18" s="171"/>
      <c r="R18" s="171"/>
    </row>
    <row r="19" spans="1:18" ht="36.75" customHeight="1" x14ac:dyDescent="0.25">
      <c r="A19" s="502" t="s">
        <v>77</v>
      </c>
      <c r="B19" s="503"/>
      <c r="C19" s="504" t="s">
        <v>455</v>
      </c>
      <c r="D19" s="504"/>
      <c r="E19" s="504"/>
      <c r="F19" s="504"/>
      <c r="G19" s="504"/>
      <c r="H19" s="504"/>
      <c r="I19" s="505"/>
      <c r="J19" s="171"/>
      <c r="K19" s="171"/>
      <c r="L19" s="171"/>
      <c r="M19" s="171"/>
      <c r="N19" s="171"/>
      <c r="O19" s="171"/>
      <c r="P19" s="171"/>
      <c r="Q19" s="171"/>
      <c r="R19" s="171"/>
    </row>
    <row r="20" spans="1:18" ht="16.5" x14ac:dyDescent="0.25">
      <c r="A20" s="494" t="s">
        <v>81</v>
      </c>
      <c r="B20" s="495"/>
      <c r="C20" s="500" t="s">
        <v>216</v>
      </c>
      <c r="D20" s="500"/>
      <c r="E20" s="500"/>
      <c r="F20" s="500"/>
      <c r="G20" s="500"/>
      <c r="H20" s="500"/>
      <c r="I20" s="501"/>
      <c r="J20" s="171"/>
      <c r="K20" s="171"/>
      <c r="L20" s="171"/>
      <c r="M20" s="171"/>
      <c r="N20" s="171"/>
      <c r="O20" s="171"/>
      <c r="P20" s="171"/>
      <c r="Q20" s="171"/>
      <c r="R20" s="171"/>
    </row>
    <row r="21" spans="1:18" ht="16.5" customHeight="1" x14ac:dyDescent="0.25">
      <c r="A21" s="494" t="s">
        <v>80</v>
      </c>
      <c r="B21" s="495"/>
      <c r="C21" s="500"/>
      <c r="D21" s="500"/>
      <c r="E21" s="500"/>
      <c r="F21" s="500"/>
      <c r="G21" s="500"/>
      <c r="H21" s="500"/>
      <c r="I21" s="501"/>
      <c r="J21" s="171"/>
      <c r="K21" s="171"/>
      <c r="L21" s="171"/>
      <c r="M21" s="171"/>
      <c r="N21" s="171"/>
      <c r="O21" s="171"/>
      <c r="P21" s="171"/>
      <c r="Q21" s="171"/>
      <c r="R21" s="171"/>
    </row>
    <row r="22" spans="1:18" ht="14.45" customHeight="1" x14ac:dyDescent="0.25">
      <c r="A22" s="494" t="s">
        <v>18</v>
      </c>
      <c r="B22" s="495"/>
      <c r="C22" s="500" t="s">
        <v>456</v>
      </c>
      <c r="D22" s="500"/>
      <c r="E22" s="500"/>
      <c r="F22" s="500"/>
      <c r="G22" s="500"/>
      <c r="H22" s="500"/>
      <c r="I22" s="501"/>
      <c r="J22" s="171"/>
      <c r="K22" s="171"/>
      <c r="L22" s="171"/>
      <c r="M22" s="171"/>
      <c r="N22" s="171"/>
      <c r="O22" s="171"/>
      <c r="P22" s="171"/>
      <c r="Q22" s="171"/>
      <c r="R22" s="171"/>
    </row>
    <row r="23" spans="1:18" ht="16.5" customHeight="1" x14ac:dyDescent="0.25">
      <c r="A23" s="494" t="s">
        <v>19</v>
      </c>
      <c r="B23" s="495"/>
      <c r="C23" s="500" t="s">
        <v>457</v>
      </c>
      <c r="D23" s="500"/>
      <c r="E23" s="500"/>
      <c r="F23" s="500"/>
      <c r="G23" s="500"/>
      <c r="H23" s="500"/>
      <c r="I23" s="501"/>
      <c r="J23" s="171"/>
      <c r="K23" s="171"/>
      <c r="L23" s="171"/>
      <c r="M23" s="171"/>
      <c r="N23" s="171"/>
      <c r="O23" s="171"/>
      <c r="P23" s="171"/>
      <c r="Q23" s="171"/>
      <c r="R23" s="171"/>
    </row>
    <row r="24" spans="1:18" ht="16.5" x14ac:dyDescent="0.25">
      <c r="A24" s="494" t="s">
        <v>20</v>
      </c>
      <c r="B24" s="495"/>
      <c r="C24" s="500" t="s">
        <v>217</v>
      </c>
      <c r="D24" s="500"/>
      <c r="E24" s="500"/>
      <c r="F24" s="500"/>
      <c r="G24" s="500"/>
      <c r="H24" s="500"/>
      <c r="I24" s="50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18" ht="16.5" customHeight="1" x14ac:dyDescent="0.25">
      <c r="A25" s="494" t="s">
        <v>21</v>
      </c>
      <c r="B25" s="495"/>
      <c r="C25" s="527" t="s">
        <v>459</v>
      </c>
      <c r="D25" s="500"/>
      <c r="E25" s="500"/>
      <c r="F25" s="500"/>
      <c r="G25" s="500"/>
      <c r="H25" s="500"/>
      <c r="I25" s="501"/>
      <c r="J25" s="171"/>
      <c r="K25" s="171"/>
      <c r="L25" s="171"/>
      <c r="M25" s="171"/>
      <c r="N25" s="171"/>
      <c r="O25" s="171"/>
      <c r="P25" s="171"/>
      <c r="Q25" s="171"/>
      <c r="R25" s="171"/>
    </row>
    <row r="26" spans="1:18" ht="16.5" x14ac:dyDescent="0.25">
      <c r="A26" s="494" t="s">
        <v>22</v>
      </c>
      <c r="B26" s="495"/>
      <c r="C26" s="496" t="s">
        <v>458</v>
      </c>
      <c r="D26" s="496"/>
      <c r="E26" s="496"/>
      <c r="F26" s="496"/>
      <c r="G26" s="496"/>
      <c r="H26" s="496"/>
      <c r="I26" s="497"/>
      <c r="J26" s="171"/>
      <c r="K26" s="171"/>
      <c r="L26" s="171"/>
      <c r="M26" s="171"/>
      <c r="N26" s="171"/>
      <c r="O26" s="171"/>
      <c r="P26" s="171"/>
      <c r="Q26" s="171"/>
      <c r="R26" s="171"/>
    </row>
    <row r="27" spans="1:18" ht="19.350000000000001" customHeight="1" x14ac:dyDescent="0.25">
      <c r="A27" s="494" t="s">
        <v>23</v>
      </c>
      <c r="B27" s="495"/>
      <c r="C27" s="513"/>
      <c r="D27" s="513"/>
      <c r="E27" s="513"/>
      <c r="F27" s="513"/>
      <c r="G27" s="513"/>
      <c r="H27" s="513"/>
      <c r="I27" s="514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ht="33" customHeight="1" thickBot="1" x14ac:dyDescent="0.3">
      <c r="A28" s="515" t="s">
        <v>24</v>
      </c>
      <c r="B28" s="516"/>
      <c r="C28" s="517"/>
      <c r="D28" s="517"/>
      <c r="E28" s="517"/>
      <c r="F28" s="517"/>
      <c r="G28" s="517"/>
      <c r="H28" s="517"/>
      <c r="I28" s="518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1:18" ht="15.75" thickBot="1" x14ac:dyDescent="0.3">
      <c r="A30" s="519" t="s">
        <v>28</v>
      </c>
      <c r="B30" s="519"/>
      <c r="C30" s="519"/>
      <c r="D30" s="519"/>
      <c r="E30" s="519"/>
      <c r="F30" s="519"/>
      <c r="G30" s="519"/>
      <c r="H30" s="519"/>
      <c r="I30" s="519"/>
      <c r="J30" s="171"/>
      <c r="K30" s="171"/>
      <c r="L30" s="171"/>
      <c r="M30" s="171"/>
      <c r="N30" s="171"/>
      <c r="O30" s="171"/>
      <c r="P30" s="171"/>
      <c r="Q30" s="171"/>
      <c r="R30" s="171"/>
    </row>
    <row r="31" spans="1:18" ht="14.45" customHeight="1" x14ac:dyDescent="0.25">
      <c r="A31" s="520" t="s">
        <v>25</v>
      </c>
      <c r="B31" s="521"/>
      <c r="C31" s="506" t="s">
        <v>26</v>
      </c>
      <c r="D31" s="506"/>
      <c r="E31" s="525" t="s">
        <v>29</v>
      </c>
      <c r="F31" s="525"/>
      <c r="G31" s="508" t="s">
        <v>30</v>
      </c>
      <c r="H31" s="508"/>
      <c r="I31" s="510" t="s">
        <v>31</v>
      </c>
      <c r="J31" s="171"/>
      <c r="K31" s="171"/>
      <c r="L31" s="171"/>
      <c r="M31" s="171"/>
      <c r="N31" s="171"/>
      <c r="O31" s="171"/>
      <c r="P31" s="171"/>
      <c r="Q31" s="171"/>
      <c r="R31" s="171"/>
    </row>
    <row r="32" spans="1:18" ht="15.75" thickBot="1" x14ac:dyDescent="0.3">
      <c r="A32" s="522"/>
      <c r="B32" s="523"/>
      <c r="C32" s="524"/>
      <c r="D32" s="524"/>
      <c r="E32" s="526"/>
      <c r="F32" s="526"/>
      <c r="G32" s="509"/>
      <c r="H32" s="509"/>
      <c r="I32" s="511"/>
      <c r="J32" s="171"/>
      <c r="K32" s="171"/>
      <c r="L32" s="171"/>
      <c r="M32" s="171"/>
      <c r="N32" s="171"/>
      <c r="O32" s="171"/>
      <c r="P32" s="171"/>
      <c r="Q32" s="171"/>
      <c r="R32" s="171"/>
    </row>
    <row r="33" spans="1:18" x14ac:dyDescent="0.25">
      <c r="A33" s="506"/>
      <c r="B33" s="506"/>
      <c r="C33" s="506"/>
      <c r="D33" s="506"/>
      <c r="E33" s="506"/>
      <c r="F33" s="506"/>
      <c r="G33" s="506"/>
      <c r="H33" s="506"/>
      <c r="I33" s="506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18" x14ac:dyDescent="0.25">
      <c r="A34" s="507"/>
      <c r="B34" s="507"/>
      <c r="C34" s="507"/>
      <c r="D34" s="507"/>
      <c r="E34" s="507"/>
      <c r="F34" s="507"/>
      <c r="G34" s="507"/>
      <c r="H34" s="507"/>
      <c r="I34" s="507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x14ac:dyDescent="0.25">
      <c r="A35" s="507"/>
      <c r="B35" s="507"/>
      <c r="C35" s="507"/>
      <c r="D35" s="507"/>
      <c r="E35" s="507"/>
      <c r="F35" s="507"/>
      <c r="G35" s="507"/>
      <c r="H35" s="507"/>
      <c r="I35" s="507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18" x14ac:dyDescent="0.25">
      <c r="A36" s="26"/>
      <c r="B36" s="26"/>
      <c r="C36" s="4"/>
      <c r="D36" s="4"/>
      <c r="E36" s="4"/>
      <c r="F36" s="4"/>
      <c r="G36" s="4"/>
      <c r="H36" s="4"/>
      <c r="I36" s="4"/>
      <c r="J36" s="171"/>
      <c r="K36" s="171"/>
      <c r="L36" s="171"/>
      <c r="M36" s="171"/>
      <c r="N36" s="171"/>
      <c r="O36" s="171"/>
      <c r="P36" s="171"/>
      <c r="Q36" s="171"/>
      <c r="R36" s="171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171"/>
      <c r="K37" s="171"/>
      <c r="L37" s="171"/>
      <c r="M37" s="171"/>
      <c r="N37" s="171"/>
      <c r="O37" s="171"/>
      <c r="P37" s="171"/>
      <c r="Q37" s="171"/>
      <c r="R37" s="171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171"/>
      <c r="K38" s="171"/>
      <c r="L38" s="171"/>
      <c r="M38" s="171"/>
      <c r="N38" s="171"/>
      <c r="O38" s="171"/>
      <c r="P38" s="171"/>
      <c r="Q38" s="171"/>
      <c r="R38" s="171"/>
    </row>
    <row r="39" spans="1:18" x14ac:dyDescent="0.25">
      <c r="A39" s="4"/>
      <c r="B39" s="4"/>
      <c r="C39" s="4"/>
      <c r="D39" s="4"/>
      <c r="E39" s="4"/>
      <c r="F39" s="4"/>
      <c r="G39" s="4"/>
      <c r="H39" s="4"/>
      <c r="I39" s="4"/>
      <c r="J39" s="171"/>
      <c r="K39" s="171"/>
      <c r="L39" s="171"/>
      <c r="M39" s="171"/>
      <c r="N39" s="171"/>
      <c r="O39" s="171"/>
      <c r="P39" s="171"/>
      <c r="Q39" s="171"/>
      <c r="R39" s="171"/>
    </row>
    <row r="40" spans="1:18" x14ac:dyDescent="0.25">
      <c r="A40" s="4"/>
      <c r="B40" s="4"/>
      <c r="C40" s="4"/>
      <c r="D40" s="4"/>
      <c r="E40" s="4"/>
      <c r="F40" s="4"/>
      <c r="G40" s="4"/>
      <c r="H40" s="4"/>
      <c r="I40" s="4"/>
      <c r="J40" s="171"/>
      <c r="K40" s="171"/>
      <c r="L40" s="171"/>
      <c r="M40" s="171"/>
      <c r="N40" s="171"/>
      <c r="O40" s="171"/>
      <c r="P40" s="171"/>
      <c r="Q40" s="171"/>
      <c r="R40" s="171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x14ac:dyDescent="0.25">
      <c r="A42" s="4"/>
      <c r="B42" s="4"/>
      <c r="C42" s="4"/>
      <c r="D42" s="4"/>
      <c r="E42" s="4"/>
      <c r="F42" s="4"/>
      <c r="G42" s="4"/>
      <c r="H42" s="4"/>
      <c r="I42" s="4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18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18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18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18" x14ac:dyDescent="0.25">
      <c r="A46" s="4"/>
      <c r="B46" s="4"/>
      <c r="C46" s="4"/>
      <c r="D46" s="4"/>
      <c r="E46" s="4"/>
      <c r="F46" s="4"/>
      <c r="G46" s="4"/>
      <c r="H46" s="4"/>
      <c r="I46" s="4"/>
    </row>
  </sheetData>
  <mergeCells count="30">
    <mergeCell ref="A33:I35"/>
    <mergeCell ref="G31:H32"/>
    <mergeCell ref="I31:I32"/>
    <mergeCell ref="A7:I7"/>
    <mergeCell ref="A27:B27"/>
    <mergeCell ref="C27:I27"/>
    <mergeCell ref="A28:B28"/>
    <mergeCell ref="C28:I28"/>
    <mergeCell ref="A30:I30"/>
    <mergeCell ref="A31:B32"/>
    <mergeCell ref="C31:D32"/>
    <mergeCell ref="E31:F32"/>
    <mergeCell ref="A24:B24"/>
    <mergeCell ref="C24:I24"/>
    <mergeCell ref="A25:B25"/>
    <mergeCell ref="C25:I25"/>
    <mergeCell ref="A26:B26"/>
    <mergeCell ref="C26:I26"/>
    <mergeCell ref="A6:I6"/>
    <mergeCell ref="A8:I10"/>
    <mergeCell ref="A22:B22"/>
    <mergeCell ref="C22:I22"/>
    <mergeCell ref="A23:B23"/>
    <mergeCell ref="C23:I23"/>
    <mergeCell ref="A19:B19"/>
    <mergeCell ref="C19:I19"/>
    <mergeCell ref="A20:B20"/>
    <mergeCell ref="C20:I20"/>
    <mergeCell ref="A21:B21"/>
    <mergeCell ref="C21:I21"/>
  </mergeCells>
  <hyperlinks>
    <hyperlink ref="C25" r:id="rId1" xr:uid="{62464F18-8032-4B64-A355-9043A79E8DFA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DF12-D66C-4238-AC08-F9D27AB45EB3}">
  <sheetPr>
    <tabColor rgb="FFFFFFCC"/>
  </sheetPr>
  <dimension ref="A1:H38"/>
  <sheetViews>
    <sheetView topLeftCell="A13" workbookViewId="0">
      <selection activeCell="G15" sqref="G15"/>
    </sheetView>
  </sheetViews>
  <sheetFormatPr defaultRowHeight="15" x14ac:dyDescent="0.25"/>
  <cols>
    <col min="1" max="1" width="40.140625" customWidth="1"/>
    <col min="2" max="8" width="22.7109375" customWidth="1"/>
  </cols>
  <sheetData>
    <row r="1" spans="1:8" x14ac:dyDescent="0.25">
      <c r="A1" s="297" t="s">
        <v>266</v>
      </c>
      <c r="B1" s="298"/>
      <c r="C1" s="298"/>
      <c r="D1" s="298"/>
      <c r="E1" s="298"/>
      <c r="F1" s="298"/>
      <c r="G1" s="298"/>
      <c r="H1" s="298"/>
    </row>
    <row r="2" spans="1:8" ht="15.75" thickBot="1" x14ac:dyDescent="0.3">
      <c r="A2" s="298"/>
      <c r="B2" s="298"/>
      <c r="C2" s="298"/>
      <c r="D2" s="298"/>
      <c r="E2" s="298"/>
      <c r="F2" s="298"/>
      <c r="G2" s="298"/>
      <c r="H2" s="298"/>
    </row>
    <row r="3" spans="1:8" x14ac:dyDescent="0.25">
      <c r="A3" s="546" t="s">
        <v>256</v>
      </c>
      <c r="B3" s="547" t="s">
        <v>257</v>
      </c>
      <c r="C3" s="548"/>
      <c r="D3" s="549"/>
      <c r="E3" s="550"/>
      <c r="F3" s="550"/>
      <c r="G3" s="550"/>
      <c r="H3" s="551"/>
    </row>
    <row r="4" spans="1:8" ht="51.75" thickBot="1" x14ac:dyDescent="0.3">
      <c r="A4" s="546"/>
      <c r="B4" s="299" t="s">
        <v>258</v>
      </c>
      <c r="C4" s="300" t="s">
        <v>259</v>
      </c>
      <c r="D4" s="301" t="s">
        <v>260</v>
      </c>
      <c r="E4" s="302" t="s">
        <v>261</v>
      </c>
      <c r="F4" s="302" t="s">
        <v>262</v>
      </c>
      <c r="G4" s="302" t="s">
        <v>263</v>
      </c>
      <c r="H4" s="303" t="s">
        <v>264</v>
      </c>
    </row>
    <row r="5" spans="1:8" ht="26.25" customHeight="1" x14ac:dyDescent="0.25">
      <c r="A5" s="304" t="s">
        <v>245</v>
      </c>
      <c r="B5" s="305">
        <v>910</v>
      </c>
      <c r="C5" s="291">
        <v>0.1</v>
      </c>
      <c r="D5" s="351">
        <f>'Rozpočet - vývoj Aplikácií'!A153+'Rozpočet - vývoj Aplikácií'!A154</f>
        <v>33.704999999999998</v>
      </c>
      <c r="E5" s="307"/>
      <c r="F5" s="307">
        <f t="shared" ref="F5:F16" si="0">D5*E5</f>
        <v>0</v>
      </c>
      <c r="G5" s="292">
        <f>D5/D17</f>
        <v>5.0330835084198312E-2</v>
      </c>
      <c r="H5" s="293"/>
    </row>
    <row r="6" spans="1:8" ht="26.25" customHeight="1" x14ac:dyDescent="0.25">
      <c r="A6" s="308" t="s">
        <v>246</v>
      </c>
      <c r="B6" s="309">
        <v>570</v>
      </c>
      <c r="C6" s="294">
        <v>0.15</v>
      </c>
      <c r="D6" s="351">
        <f>'Rozpočet - vývoj Aplikácií'!A160</f>
        <v>88.83</v>
      </c>
      <c r="E6" s="307"/>
      <c r="F6" s="307">
        <f t="shared" si="0"/>
        <v>0</v>
      </c>
      <c r="G6" s="292">
        <f>D6/D17</f>
        <v>0.1326476214368591</v>
      </c>
      <c r="H6" s="293"/>
    </row>
    <row r="7" spans="1:8" ht="26.25" customHeight="1" x14ac:dyDescent="0.25">
      <c r="A7" s="308" t="s">
        <v>247</v>
      </c>
      <c r="B7" s="310">
        <v>650</v>
      </c>
      <c r="C7" s="294">
        <v>0.6</v>
      </c>
      <c r="D7" s="351">
        <f>'Rozpočet - vývoj Aplikácií'!A156+'Rozpočet - vývoj Aplikácií'!A157</f>
        <v>304.815</v>
      </c>
      <c r="E7" s="311"/>
      <c r="F7" s="307">
        <f t="shared" si="0"/>
        <v>0</v>
      </c>
      <c r="G7" s="292">
        <f>D7/D17</f>
        <v>0.45517263006052244</v>
      </c>
      <c r="H7" s="293"/>
    </row>
    <row r="8" spans="1:8" ht="26.25" customHeight="1" x14ac:dyDescent="0.25">
      <c r="A8" s="308" t="s">
        <v>248</v>
      </c>
      <c r="B8" s="310">
        <v>890</v>
      </c>
      <c r="C8" s="294">
        <v>0.04</v>
      </c>
      <c r="D8" s="351">
        <f>'Rozpočet - vývoj Aplikácií'!A148</f>
        <v>20.580000000000009</v>
      </c>
      <c r="E8" s="311"/>
      <c r="F8" s="307">
        <f t="shared" si="0"/>
        <v>0</v>
      </c>
      <c r="G8" s="292">
        <f>D8/D17</f>
        <v>3.073160023832671E-2</v>
      </c>
      <c r="H8" s="293"/>
    </row>
    <row r="9" spans="1:8" ht="26.25" customHeight="1" x14ac:dyDescent="0.25">
      <c r="A9" s="308" t="s">
        <v>244</v>
      </c>
      <c r="B9" s="310">
        <v>740</v>
      </c>
      <c r="C9" s="294">
        <v>0.5</v>
      </c>
      <c r="D9" s="351">
        <f>'Rozpočet - vývoj Aplikácií'!A149+'Rozpočet - vývoj Aplikácií'!A150</f>
        <v>61.635000000000005</v>
      </c>
      <c r="E9" s="311"/>
      <c r="F9" s="307">
        <f t="shared" si="0"/>
        <v>0</v>
      </c>
      <c r="G9" s="292">
        <f>D9/D17</f>
        <v>9.2038006836213118E-2</v>
      </c>
      <c r="H9" s="293"/>
    </row>
    <row r="10" spans="1:8" ht="26.25" customHeight="1" x14ac:dyDescent="0.25">
      <c r="A10" s="308" t="s">
        <v>249</v>
      </c>
      <c r="B10" s="310">
        <v>890</v>
      </c>
      <c r="C10" s="294">
        <v>0.05</v>
      </c>
      <c r="D10" s="306">
        <v>0</v>
      </c>
      <c r="E10" s="311"/>
      <c r="F10" s="307">
        <f t="shared" si="0"/>
        <v>0</v>
      </c>
      <c r="G10" s="292">
        <f>D10/D17</f>
        <v>0</v>
      </c>
      <c r="H10" s="293"/>
    </row>
    <row r="11" spans="1:8" ht="26.25" customHeight="1" x14ac:dyDescent="0.25">
      <c r="A11" s="308" t="s">
        <v>250</v>
      </c>
      <c r="B11" s="310">
        <v>1200</v>
      </c>
      <c r="C11" s="294">
        <v>0.1</v>
      </c>
      <c r="D11" s="351">
        <f>'Rozpočet - vývoj Aplikácií'!A155</f>
        <v>29.610000000000003</v>
      </c>
      <c r="E11" s="311"/>
      <c r="F11" s="307">
        <f t="shared" si="0"/>
        <v>0</v>
      </c>
      <c r="G11" s="292">
        <f>D11/D17</f>
        <v>4.4215873812286373E-2</v>
      </c>
      <c r="H11" s="293"/>
    </row>
    <row r="12" spans="1:8" ht="26.25" customHeight="1" x14ac:dyDescent="0.25">
      <c r="A12" s="308" t="s">
        <v>251</v>
      </c>
      <c r="B12" s="310">
        <v>790</v>
      </c>
      <c r="C12" s="294">
        <v>0.3</v>
      </c>
      <c r="D12" s="351">
        <f>'Rozpočet - vývoj Aplikácií'!A159</f>
        <v>50.505000000000003</v>
      </c>
      <c r="E12" s="311"/>
      <c r="F12" s="307">
        <f t="shared" si="0"/>
        <v>0</v>
      </c>
      <c r="G12" s="292">
        <f>D12/D17</f>
        <v>7.541785568691399E-2</v>
      </c>
      <c r="H12" s="293"/>
    </row>
    <row r="13" spans="1:8" ht="26.25" customHeight="1" x14ac:dyDescent="0.25">
      <c r="A13" s="308" t="s">
        <v>252</v>
      </c>
      <c r="B13" s="310">
        <v>600</v>
      </c>
      <c r="C13" s="294">
        <v>0.15</v>
      </c>
      <c r="D13" s="351">
        <f>'Rozpočet - vývoj Aplikácií'!A158</f>
        <v>30.24</v>
      </c>
      <c r="E13" s="311"/>
      <c r="F13" s="307">
        <f t="shared" si="0"/>
        <v>0</v>
      </c>
      <c r="G13" s="292">
        <f>D13/D17</f>
        <v>4.5156637084888207E-2</v>
      </c>
      <c r="H13" s="293"/>
    </row>
    <row r="14" spans="1:8" ht="26.25" customHeight="1" x14ac:dyDescent="0.25">
      <c r="A14" s="308" t="s">
        <v>253</v>
      </c>
      <c r="B14" s="310">
        <v>710</v>
      </c>
      <c r="C14" s="322">
        <v>0.05</v>
      </c>
      <c r="D14" s="323">
        <v>0</v>
      </c>
      <c r="E14" s="311"/>
      <c r="F14" s="307">
        <f t="shared" si="0"/>
        <v>0</v>
      </c>
      <c r="G14" s="326">
        <f>D14/D17</f>
        <v>0</v>
      </c>
      <c r="H14" s="293"/>
    </row>
    <row r="15" spans="1:8" ht="26.25" customHeight="1" x14ac:dyDescent="0.25">
      <c r="A15" s="312" t="s">
        <v>254</v>
      </c>
      <c r="B15" s="313">
        <v>900</v>
      </c>
      <c r="C15" s="295">
        <v>0.5</v>
      </c>
      <c r="D15" s="352">
        <f>'Rozpočet - vývoj Aplikácií'!A151+'Rozpočet - vývoj Aplikácií'!A152</f>
        <v>49.749000000000009</v>
      </c>
      <c r="E15" s="314"/>
      <c r="F15" s="307">
        <f t="shared" si="0"/>
        <v>0</v>
      </c>
      <c r="G15" s="292">
        <f>D15/D17</f>
        <v>7.4288939759791797E-2</v>
      </c>
      <c r="H15" s="296"/>
    </row>
    <row r="16" spans="1:8" ht="26.25" customHeight="1" thickBot="1" x14ac:dyDescent="0.3">
      <c r="A16" s="315" t="s">
        <v>255</v>
      </c>
      <c r="B16" s="313">
        <v>570</v>
      </c>
      <c r="C16" s="324">
        <v>0.2</v>
      </c>
      <c r="D16" s="325">
        <v>0</v>
      </c>
      <c r="E16" s="314"/>
      <c r="F16" s="316">
        <f t="shared" si="0"/>
        <v>0</v>
      </c>
      <c r="G16" s="327">
        <f>D16/D17</f>
        <v>0</v>
      </c>
      <c r="H16" s="296"/>
    </row>
    <row r="17" spans="1:8" ht="15.75" thickBot="1" x14ac:dyDescent="0.3">
      <c r="A17" s="317" t="s">
        <v>265</v>
      </c>
      <c r="B17" s="552"/>
      <c r="C17" s="553"/>
      <c r="D17" s="318">
        <f>SUM(D5:D16)</f>
        <v>669.66899999999998</v>
      </c>
      <c r="E17" s="319">
        <f>SUM(E5:E16)</f>
        <v>0</v>
      </c>
      <c r="F17" s="319">
        <f>SUM(F5:F16)</f>
        <v>0</v>
      </c>
      <c r="G17" s="320">
        <f>SUM(G5:G16)</f>
        <v>0.99999999999999989</v>
      </c>
      <c r="H17" s="321"/>
    </row>
    <row r="19" spans="1:8" ht="15.75" thickBot="1" x14ac:dyDescent="0.3"/>
    <row r="20" spans="1:8" x14ac:dyDescent="0.25">
      <c r="A20" s="478" t="s">
        <v>256</v>
      </c>
      <c r="B20" s="479" t="s">
        <v>345</v>
      </c>
      <c r="C20" s="479"/>
      <c r="D20" s="479" t="s">
        <v>346</v>
      </c>
      <c r="E20" s="480" t="s">
        <v>347</v>
      </c>
    </row>
    <row r="21" spans="1:8" x14ac:dyDescent="0.25">
      <c r="A21" s="366" t="s">
        <v>348</v>
      </c>
      <c r="B21" s="34" t="s">
        <v>349</v>
      </c>
      <c r="C21" s="364">
        <v>15</v>
      </c>
      <c r="D21" s="364">
        <f>C21*B24</f>
        <v>20.2425</v>
      </c>
      <c r="E21" s="376">
        <f>D21*B25</f>
        <v>151.81874999999999</v>
      </c>
    </row>
    <row r="22" spans="1:8" x14ac:dyDescent="0.25">
      <c r="A22" s="366" t="s">
        <v>350</v>
      </c>
      <c r="B22" s="34" t="s">
        <v>351</v>
      </c>
      <c r="C22" s="364">
        <v>25</v>
      </c>
      <c r="D22" s="364">
        <f>C22*B24</f>
        <v>33.737499999999997</v>
      </c>
      <c r="E22" s="376">
        <f>D22*B25</f>
        <v>253.03124999999997</v>
      </c>
    </row>
    <row r="23" spans="1:8" x14ac:dyDescent="0.25">
      <c r="A23" s="366" t="s">
        <v>352</v>
      </c>
      <c r="B23" s="34" t="s">
        <v>349</v>
      </c>
      <c r="C23" s="364">
        <v>15</v>
      </c>
      <c r="D23" s="364">
        <f>C23*B24</f>
        <v>20.2425</v>
      </c>
      <c r="E23" s="376">
        <f>D23*B25</f>
        <v>151.81874999999999</v>
      </c>
    </row>
    <row r="24" spans="1:8" x14ac:dyDescent="0.25">
      <c r="A24" s="366" t="s">
        <v>353</v>
      </c>
      <c r="B24" s="34">
        <v>1.3494999999999999</v>
      </c>
      <c r="C24" s="34"/>
      <c r="D24" s="34"/>
      <c r="E24" s="367"/>
    </row>
    <row r="25" spans="1:8" ht="15.75" thickBot="1" x14ac:dyDescent="0.3">
      <c r="A25" s="368" t="s">
        <v>354</v>
      </c>
      <c r="B25" s="269">
        <v>7.5</v>
      </c>
      <c r="C25" s="269"/>
      <c r="D25" s="269"/>
      <c r="E25" s="369"/>
    </row>
    <row r="26" spans="1:8" ht="107.25" customHeight="1" thickBot="1" x14ac:dyDescent="0.3">
      <c r="A26" s="473" t="s">
        <v>355</v>
      </c>
    </row>
    <row r="27" spans="1:8" ht="15.75" thickBot="1" x14ac:dyDescent="0.3"/>
    <row r="28" spans="1:8" x14ac:dyDescent="0.25">
      <c r="A28" s="373" t="s">
        <v>356</v>
      </c>
      <c r="B28" s="374" t="s">
        <v>357</v>
      </c>
      <c r="C28" s="374" t="s">
        <v>358</v>
      </c>
      <c r="D28" s="374" t="s">
        <v>359</v>
      </c>
      <c r="E28" s="374" t="s">
        <v>360</v>
      </c>
      <c r="F28" s="375" t="s">
        <v>361</v>
      </c>
    </row>
    <row r="29" spans="1:8" x14ac:dyDescent="0.25">
      <c r="A29" s="366" t="s">
        <v>267</v>
      </c>
      <c r="B29" s="364">
        <v>14</v>
      </c>
      <c r="C29" s="34">
        <v>1.3494999999999999</v>
      </c>
      <c r="D29" s="364">
        <f>B29*C29</f>
        <v>18.893000000000001</v>
      </c>
      <c r="E29" s="34">
        <v>7.5</v>
      </c>
      <c r="F29" s="376">
        <f>D29*E29</f>
        <v>141.69749999999999</v>
      </c>
    </row>
    <row r="30" spans="1:8" x14ac:dyDescent="0.25">
      <c r="A30" s="366" t="s">
        <v>244</v>
      </c>
      <c r="B30" s="364">
        <v>21</v>
      </c>
      <c r="C30" s="34">
        <v>1.3494999999999999</v>
      </c>
      <c r="D30" s="364">
        <f t="shared" ref="D30:D38" si="1">B30*C30</f>
        <v>28.339499999999997</v>
      </c>
      <c r="E30" s="34">
        <v>7.5</v>
      </c>
      <c r="F30" s="376">
        <f t="shared" ref="F30:F38" si="2">D30*E30</f>
        <v>212.54624999999999</v>
      </c>
    </row>
    <row r="31" spans="1:8" x14ac:dyDescent="0.25">
      <c r="A31" s="366" t="s">
        <v>269</v>
      </c>
      <c r="B31" s="364">
        <v>20</v>
      </c>
      <c r="C31" s="34">
        <v>1.3494999999999999</v>
      </c>
      <c r="D31" s="364">
        <f t="shared" si="1"/>
        <v>26.99</v>
      </c>
      <c r="E31" s="34">
        <v>7.5</v>
      </c>
      <c r="F31" s="376">
        <f t="shared" si="2"/>
        <v>202.42499999999998</v>
      </c>
    </row>
    <row r="32" spans="1:8" x14ac:dyDescent="0.25">
      <c r="A32" s="366" t="s">
        <v>271</v>
      </c>
      <c r="B32" s="364">
        <v>22</v>
      </c>
      <c r="C32" s="34">
        <v>1.3494999999999999</v>
      </c>
      <c r="D32" s="364">
        <f t="shared" si="1"/>
        <v>29.689</v>
      </c>
      <c r="E32" s="34">
        <v>7.5</v>
      </c>
      <c r="F32" s="376">
        <f t="shared" si="2"/>
        <v>222.66749999999999</v>
      </c>
    </row>
    <row r="33" spans="1:6" x14ac:dyDescent="0.25">
      <c r="A33" s="366" t="s">
        <v>362</v>
      </c>
      <c r="B33" s="364">
        <v>18</v>
      </c>
      <c r="C33" s="34">
        <v>1.3494999999999999</v>
      </c>
      <c r="D33" s="364">
        <f t="shared" si="1"/>
        <v>24.290999999999997</v>
      </c>
      <c r="E33" s="34">
        <v>7.5</v>
      </c>
      <c r="F33" s="376">
        <f t="shared" si="2"/>
        <v>182.18249999999998</v>
      </c>
    </row>
    <row r="34" spans="1:6" x14ac:dyDescent="0.25">
      <c r="A34" s="366" t="s">
        <v>363</v>
      </c>
      <c r="B34" s="364">
        <v>10</v>
      </c>
      <c r="C34" s="34">
        <v>1.3494999999999999</v>
      </c>
      <c r="D34" s="364">
        <f t="shared" si="1"/>
        <v>13.494999999999999</v>
      </c>
      <c r="E34" s="34">
        <v>7.5</v>
      </c>
      <c r="F34" s="376">
        <f t="shared" si="2"/>
        <v>101.21249999999999</v>
      </c>
    </row>
    <row r="35" spans="1:6" x14ac:dyDescent="0.25">
      <c r="A35" s="366" t="s">
        <v>364</v>
      </c>
      <c r="B35" s="364">
        <v>12</v>
      </c>
      <c r="C35" s="34">
        <v>1.3494999999999999</v>
      </c>
      <c r="D35" s="364">
        <f t="shared" si="1"/>
        <v>16.193999999999999</v>
      </c>
      <c r="E35" s="34">
        <v>7.5</v>
      </c>
      <c r="F35" s="376">
        <f t="shared" si="2"/>
        <v>121.455</v>
      </c>
    </row>
    <row r="36" spans="1:6" x14ac:dyDescent="0.25">
      <c r="A36" s="366" t="s">
        <v>365</v>
      </c>
      <c r="B36" s="364">
        <v>10</v>
      </c>
      <c r="C36" s="34">
        <v>1.3494999999999999</v>
      </c>
      <c r="D36" s="364">
        <f t="shared" si="1"/>
        <v>13.494999999999999</v>
      </c>
      <c r="E36" s="34">
        <v>7.5</v>
      </c>
      <c r="F36" s="376">
        <f t="shared" si="2"/>
        <v>101.21249999999999</v>
      </c>
    </row>
    <row r="37" spans="1:6" x14ac:dyDescent="0.25">
      <c r="A37" s="366" t="s">
        <v>380</v>
      </c>
      <c r="B37" s="364">
        <v>12</v>
      </c>
      <c r="C37" s="34">
        <v>1.3494999999999999</v>
      </c>
      <c r="D37" s="364">
        <f t="shared" si="1"/>
        <v>16.193999999999999</v>
      </c>
      <c r="E37" s="34">
        <v>7.5</v>
      </c>
      <c r="F37" s="376">
        <f t="shared" si="2"/>
        <v>121.455</v>
      </c>
    </row>
    <row r="38" spans="1:6" ht="15.75" thickBot="1" x14ac:dyDescent="0.3">
      <c r="A38" s="391" t="s">
        <v>383</v>
      </c>
      <c r="B38" s="365">
        <v>10</v>
      </c>
      <c r="C38" s="269">
        <v>1.3494999999999999</v>
      </c>
      <c r="D38" s="365">
        <f t="shared" si="1"/>
        <v>13.494999999999999</v>
      </c>
      <c r="E38" s="269">
        <v>7.5</v>
      </c>
      <c r="F38" s="377">
        <f t="shared" si="2"/>
        <v>101.21249999999999</v>
      </c>
    </row>
  </sheetData>
  <mergeCells count="4">
    <mergeCell ref="A3:A4"/>
    <mergeCell ref="B3:C3"/>
    <mergeCell ref="D3:H3"/>
    <mergeCell ref="B17:C17"/>
  </mergeCells>
  <conditionalFormatting sqref="E16">
    <cfRule type="cellIs" dxfId="10" priority="1" operator="greaterThan">
      <formula>$B$16</formula>
    </cfRule>
  </conditionalFormatting>
  <conditionalFormatting sqref="E5">
    <cfRule type="cellIs" dxfId="9" priority="11" operator="greaterThan">
      <formula>$B$5</formula>
    </cfRule>
  </conditionalFormatting>
  <conditionalFormatting sqref="E6">
    <cfRule type="cellIs" dxfId="8" priority="10" operator="greaterThan">
      <formula>$B$6</formula>
    </cfRule>
  </conditionalFormatting>
  <conditionalFormatting sqref="E7">
    <cfRule type="cellIs" dxfId="7" priority="9" operator="greaterThan">
      <formula>$B$7</formula>
    </cfRule>
  </conditionalFormatting>
  <conditionalFormatting sqref="E8">
    <cfRule type="cellIs" dxfId="6" priority="8" operator="greaterThan">
      <formula>$B$8</formula>
    </cfRule>
  </conditionalFormatting>
  <conditionalFormatting sqref="E9">
    <cfRule type="cellIs" dxfId="5" priority="7" operator="greaterThan">
      <formula>$B$9</formula>
    </cfRule>
  </conditionalFormatting>
  <conditionalFormatting sqref="E10">
    <cfRule type="cellIs" dxfId="4" priority="6" operator="greaterThan">
      <formula>$B$10</formula>
    </cfRule>
  </conditionalFormatting>
  <conditionalFormatting sqref="E11">
    <cfRule type="cellIs" dxfId="3" priority="5" operator="greaterThan">
      <formula>$B$11</formula>
    </cfRule>
  </conditionalFormatting>
  <conditionalFormatting sqref="E12">
    <cfRule type="cellIs" dxfId="2" priority="4" operator="greaterThan">
      <formula>$B$12</formula>
    </cfRule>
  </conditionalFormatting>
  <conditionalFormatting sqref="E13">
    <cfRule type="cellIs" dxfId="1" priority="3" operator="greaterThan">
      <formula>$B$13</formula>
    </cfRule>
  </conditionalFormatting>
  <conditionalFormatting sqref="E14:E15">
    <cfRule type="cellIs" dxfId="0" priority="2" operator="greaterThan">
      <formula>$B$14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 xr:uid="{1A36E0FF-68AF-431C-B137-AB32A70BB93A}">
      <formula1>B5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B660-B057-4616-B7F4-E85C25BAFA46}">
  <sheetPr>
    <tabColor rgb="FFFFFFCC"/>
  </sheetPr>
  <dimension ref="B1:H24"/>
  <sheetViews>
    <sheetView topLeftCell="A4" workbookViewId="0">
      <selection activeCell="H6" sqref="H6"/>
    </sheetView>
  </sheetViews>
  <sheetFormatPr defaultRowHeight="15" x14ac:dyDescent="0.25"/>
  <cols>
    <col min="2" max="2" width="24.28515625" customWidth="1"/>
    <col min="3" max="3" width="40.140625" customWidth="1"/>
    <col min="4" max="4" width="21.42578125" customWidth="1"/>
    <col min="5" max="5" width="13.42578125" customWidth="1"/>
    <col min="6" max="6" width="7.85546875" customWidth="1"/>
    <col min="7" max="7" width="15.85546875" customWidth="1"/>
    <col min="8" max="8" width="102.5703125" customWidth="1"/>
  </cols>
  <sheetData>
    <row r="1" spans="2:8" ht="15.75" thickBot="1" x14ac:dyDescent="0.3"/>
    <row r="2" spans="2:8" x14ac:dyDescent="0.25">
      <c r="B2" s="370" t="s">
        <v>0</v>
      </c>
      <c r="C2" s="371" t="s">
        <v>372</v>
      </c>
      <c r="D2" s="371" t="s">
        <v>367</v>
      </c>
      <c r="E2" s="371" t="s">
        <v>368</v>
      </c>
      <c r="F2" s="371" t="s">
        <v>182</v>
      </c>
      <c r="G2" s="371" t="s">
        <v>369</v>
      </c>
      <c r="H2" s="372" t="s">
        <v>373</v>
      </c>
    </row>
    <row r="3" spans="2:8" ht="76.5" x14ac:dyDescent="0.25">
      <c r="B3" s="554" t="s">
        <v>179</v>
      </c>
      <c r="C3" s="34" t="s">
        <v>366</v>
      </c>
      <c r="D3" s="364">
        <f>'Príloha limity'!F29</f>
        <v>141.69749999999999</v>
      </c>
      <c r="E3" s="34" t="s">
        <v>322</v>
      </c>
      <c r="F3" s="34">
        <v>25</v>
      </c>
      <c r="G3" s="384">
        <f>D3*F3</f>
        <v>3542.4375</v>
      </c>
      <c r="H3" s="481" t="s">
        <v>382</v>
      </c>
    </row>
    <row r="4" spans="2:8" ht="63.75" x14ac:dyDescent="0.25">
      <c r="B4" s="554"/>
      <c r="C4" s="34" t="s">
        <v>364</v>
      </c>
      <c r="D4" s="364">
        <f>'Príloha limity'!F35</f>
        <v>121.455</v>
      </c>
      <c r="E4" s="34" t="s">
        <v>322</v>
      </c>
      <c r="F4" s="34">
        <v>17</v>
      </c>
      <c r="G4" s="384">
        <f t="shared" ref="G4:G12" si="0">D4*F4</f>
        <v>2064.7350000000001</v>
      </c>
      <c r="H4" s="481" t="s">
        <v>381</v>
      </c>
    </row>
    <row r="5" spans="2:8" ht="78.75" customHeight="1" x14ac:dyDescent="0.25">
      <c r="B5" s="554"/>
      <c r="C5" s="389" t="s">
        <v>380</v>
      </c>
      <c r="D5" s="364">
        <f>'Príloha limity'!F37</f>
        <v>121.455</v>
      </c>
      <c r="E5" s="389" t="s">
        <v>322</v>
      </c>
      <c r="F5" s="34">
        <v>75</v>
      </c>
      <c r="G5" s="384">
        <f t="shared" si="0"/>
        <v>9109.125</v>
      </c>
      <c r="H5" s="481" t="s">
        <v>453</v>
      </c>
    </row>
    <row r="6" spans="2:8" ht="108.75" customHeight="1" x14ac:dyDescent="0.25">
      <c r="B6" s="554"/>
      <c r="C6" s="389" t="s">
        <v>383</v>
      </c>
      <c r="D6" s="364">
        <f>'Príloha limity'!F38</f>
        <v>101.21249999999999</v>
      </c>
      <c r="E6" s="389" t="s">
        <v>322</v>
      </c>
      <c r="F6" s="389">
        <v>14</v>
      </c>
      <c r="G6" s="384">
        <f t="shared" si="0"/>
        <v>1416.9749999999999</v>
      </c>
      <c r="H6" s="481" t="s">
        <v>454</v>
      </c>
    </row>
    <row r="7" spans="2:8" ht="127.5" x14ac:dyDescent="0.25">
      <c r="B7" s="554"/>
      <c r="C7" s="34" t="s">
        <v>365</v>
      </c>
      <c r="D7" s="364">
        <f>'Príloha limity'!F36</f>
        <v>101.21249999999999</v>
      </c>
      <c r="E7" s="34" t="s">
        <v>322</v>
      </c>
      <c r="F7" s="34">
        <v>41</v>
      </c>
      <c r="G7" s="384">
        <f t="shared" si="0"/>
        <v>4149.7124999999996</v>
      </c>
      <c r="H7" s="482" t="s">
        <v>452</v>
      </c>
    </row>
    <row r="8" spans="2:8" ht="30" x14ac:dyDescent="0.25">
      <c r="B8" s="554" t="s">
        <v>112</v>
      </c>
      <c r="C8" s="34" t="s">
        <v>343</v>
      </c>
      <c r="D8" s="364">
        <f>960*0.7</f>
        <v>672</v>
      </c>
      <c r="E8" s="34" t="s">
        <v>184</v>
      </c>
      <c r="F8" s="34">
        <v>2</v>
      </c>
      <c r="G8" s="384">
        <f t="shared" si="0"/>
        <v>1344</v>
      </c>
      <c r="H8" s="483" t="s">
        <v>374</v>
      </c>
    </row>
    <row r="9" spans="2:8" ht="30" x14ac:dyDescent="0.25">
      <c r="B9" s="554"/>
      <c r="C9" s="34" t="s">
        <v>344</v>
      </c>
      <c r="D9" s="364">
        <f>480*0.7</f>
        <v>336</v>
      </c>
      <c r="E9" s="34" t="s">
        <v>184</v>
      </c>
      <c r="F9" s="34">
        <v>2</v>
      </c>
      <c r="G9" s="384">
        <f t="shared" si="0"/>
        <v>672</v>
      </c>
      <c r="H9" s="483" t="s">
        <v>374</v>
      </c>
    </row>
    <row r="10" spans="2:8" ht="45" x14ac:dyDescent="0.25">
      <c r="B10" s="554"/>
      <c r="C10" s="389" t="s">
        <v>450</v>
      </c>
      <c r="D10" s="364">
        <f>G24</f>
        <v>307.2</v>
      </c>
      <c r="E10" s="389" t="s">
        <v>184</v>
      </c>
      <c r="F10" s="389">
        <v>1</v>
      </c>
      <c r="G10" s="384">
        <f t="shared" si="0"/>
        <v>307.2</v>
      </c>
      <c r="H10" s="483" t="s">
        <v>451</v>
      </c>
    </row>
    <row r="11" spans="2:8" ht="45" x14ac:dyDescent="0.25">
      <c r="B11" s="554"/>
      <c r="C11" s="389" t="s">
        <v>376</v>
      </c>
      <c r="D11" s="364">
        <v>0.14000000000000001</v>
      </c>
      <c r="E11" s="389" t="s">
        <v>184</v>
      </c>
      <c r="F11" s="389">
        <v>500</v>
      </c>
      <c r="G11" s="384">
        <f t="shared" si="0"/>
        <v>70</v>
      </c>
      <c r="H11" s="484" t="s">
        <v>379</v>
      </c>
    </row>
    <row r="12" spans="2:8" ht="30" x14ac:dyDescent="0.25">
      <c r="B12" s="554"/>
      <c r="C12" s="389" t="s">
        <v>377</v>
      </c>
      <c r="D12" s="34">
        <v>0.1</v>
      </c>
      <c r="E12" s="389" t="s">
        <v>184</v>
      </c>
      <c r="F12" s="389">
        <v>500</v>
      </c>
      <c r="G12" s="390">
        <f t="shared" si="0"/>
        <v>50</v>
      </c>
      <c r="H12" s="485" t="s">
        <v>378</v>
      </c>
    </row>
    <row r="13" spans="2:8" x14ac:dyDescent="0.25">
      <c r="B13" s="366"/>
      <c r="C13" s="389"/>
      <c r="D13" s="34"/>
      <c r="E13" s="389"/>
      <c r="F13" s="389"/>
      <c r="G13" s="390"/>
      <c r="H13" s="367"/>
    </row>
    <row r="14" spans="2:8" x14ac:dyDescent="0.25">
      <c r="B14" s="380" t="s">
        <v>370</v>
      </c>
      <c r="C14" s="381"/>
      <c r="D14" s="381"/>
      <c r="E14" s="381"/>
      <c r="F14" s="381"/>
      <c r="G14" s="385">
        <f>SUM(G3:G7)</f>
        <v>20282.985000000001</v>
      </c>
      <c r="H14" s="367"/>
    </row>
    <row r="15" spans="2:8" x14ac:dyDescent="0.25">
      <c r="B15" s="380" t="s">
        <v>371</v>
      </c>
      <c r="C15" s="381"/>
      <c r="D15" s="381"/>
      <c r="E15" s="381"/>
      <c r="F15" s="381"/>
      <c r="G15" s="385">
        <f>SUM(G8:G12)</f>
        <v>2443.1999999999998</v>
      </c>
      <c r="H15" s="367"/>
    </row>
    <row r="16" spans="2:8" ht="15.75" thickBot="1" x14ac:dyDescent="0.3">
      <c r="B16" s="382" t="s">
        <v>69</v>
      </c>
      <c r="C16" s="383"/>
      <c r="D16" s="383"/>
      <c r="E16" s="383"/>
      <c r="F16" s="383"/>
      <c r="G16" s="386">
        <f>SUM(G14:G15)</f>
        <v>22726.185000000001</v>
      </c>
      <c r="H16" s="369"/>
    </row>
    <row r="19" spans="3:8" x14ac:dyDescent="0.25">
      <c r="F19" t="s">
        <v>375</v>
      </c>
      <c r="G19">
        <v>32000</v>
      </c>
    </row>
    <row r="20" spans="3:8" x14ac:dyDescent="0.25">
      <c r="H20" t="s">
        <v>183</v>
      </c>
    </row>
    <row r="21" spans="3:8" x14ac:dyDescent="0.25">
      <c r="C21" t="s">
        <v>445</v>
      </c>
      <c r="D21" s="363">
        <f>200*1.2</f>
        <v>240</v>
      </c>
      <c r="F21">
        <v>1</v>
      </c>
      <c r="G21" s="363">
        <f>D21*F21</f>
        <v>240</v>
      </c>
      <c r="H21" s="267" t="s">
        <v>446</v>
      </c>
    </row>
    <row r="22" spans="3:8" x14ac:dyDescent="0.25">
      <c r="C22" t="s">
        <v>445</v>
      </c>
      <c r="D22" s="363">
        <f>(299+19)*1.2</f>
        <v>381.59999999999997</v>
      </c>
      <c r="F22">
        <v>1</v>
      </c>
      <c r="G22" s="363">
        <f t="shared" ref="G22:G23" si="1">D22*F22</f>
        <v>381.59999999999997</v>
      </c>
      <c r="H22" s="267" t="s">
        <v>447</v>
      </c>
    </row>
    <row r="23" spans="3:8" x14ac:dyDescent="0.25">
      <c r="C23" t="s">
        <v>445</v>
      </c>
      <c r="D23" s="363">
        <f>250*1.2</f>
        <v>300</v>
      </c>
      <c r="F23">
        <v>1</v>
      </c>
      <c r="G23" s="363">
        <f t="shared" si="1"/>
        <v>300</v>
      </c>
      <c r="H23" s="267" t="s">
        <v>448</v>
      </c>
    </row>
    <row r="24" spans="3:8" x14ac:dyDescent="0.25">
      <c r="C24" s="378" t="s">
        <v>449</v>
      </c>
      <c r="G24" s="379">
        <f>SUM(G21:G23)/3</f>
        <v>307.2</v>
      </c>
    </row>
  </sheetData>
  <mergeCells count="2">
    <mergeCell ref="B3:B7"/>
    <mergeCell ref="B8:B12"/>
  </mergeCells>
  <hyperlinks>
    <hyperlink ref="H21" r:id="rId1" xr:uid="{BF5B1489-1B43-4DF7-9A07-4C30FCC3C566}"/>
    <hyperlink ref="H22" r:id="rId2" xr:uid="{DED68CB1-77A4-4061-99A8-C2F2DC77062B}"/>
    <hyperlink ref="H23" r:id="rId3" xr:uid="{7914268E-8B2C-4FF5-A69C-94485EF2850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CC"/>
  </sheetPr>
  <dimension ref="A1:J18"/>
  <sheetViews>
    <sheetView view="pageBreakPreview" zoomScaleNormal="100" zoomScaleSheetLayoutView="100" workbookViewId="0">
      <selection activeCell="I23" sqref="I23"/>
    </sheetView>
  </sheetViews>
  <sheetFormatPr defaultColWidth="8.85546875" defaultRowHeight="15" x14ac:dyDescent="0.25"/>
  <cols>
    <col min="1" max="1" width="61" customWidth="1"/>
    <col min="2" max="2" width="13.42578125" bestFit="1" customWidth="1"/>
    <col min="3" max="3" width="13.7109375" customWidth="1"/>
    <col min="5" max="5" width="23.28515625" bestFit="1" customWidth="1"/>
    <col min="6" max="6" width="23.28515625" customWidth="1"/>
    <col min="7" max="7" width="17.42578125" customWidth="1"/>
    <col min="8" max="8" width="17.28515625" customWidth="1"/>
    <col min="9" max="9" width="38.42578125" customWidth="1"/>
    <col min="10" max="10" width="11.85546875" bestFit="1" customWidth="1"/>
  </cols>
  <sheetData>
    <row r="1" spans="1:10" ht="15.75" thickBot="1" x14ac:dyDescent="0.3"/>
    <row r="2" spans="1:10" ht="24.75" thickBot="1" x14ac:dyDescent="0.3">
      <c r="A2" s="202" t="s">
        <v>180</v>
      </c>
      <c r="B2" s="202" t="s">
        <v>181</v>
      </c>
      <c r="C2" s="202" t="s">
        <v>182</v>
      </c>
      <c r="D2" s="202"/>
      <c r="E2" s="272" t="s">
        <v>207</v>
      </c>
      <c r="F2" s="205"/>
      <c r="G2" s="272" t="s">
        <v>205</v>
      </c>
      <c r="H2" s="272" t="s">
        <v>206</v>
      </c>
      <c r="I2" s="202" t="s">
        <v>183</v>
      </c>
    </row>
    <row r="3" spans="1:10" x14ac:dyDescent="0.25">
      <c r="A3" s="289" t="s">
        <v>439</v>
      </c>
      <c r="B3" s="284"/>
      <c r="C3" s="284"/>
      <c r="D3" s="284"/>
      <c r="E3" s="285"/>
      <c r="F3" s="286"/>
      <c r="G3" s="287"/>
      <c r="H3" s="287"/>
      <c r="I3" s="288"/>
    </row>
    <row r="4" spans="1:10" x14ac:dyDescent="0.25">
      <c r="A4" s="145"/>
      <c r="B4" s="259" t="s">
        <v>184</v>
      </c>
      <c r="C4" s="203"/>
      <c r="D4" s="270" t="s">
        <v>208</v>
      </c>
      <c r="E4" s="206"/>
      <c r="F4" s="271"/>
      <c r="G4" s="260"/>
      <c r="H4" s="260"/>
      <c r="I4" s="258"/>
    </row>
    <row r="5" spans="1:10" x14ac:dyDescent="0.25">
      <c r="A5" s="145"/>
      <c r="B5" s="259" t="s">
        <v>184</v>
      </c>
      <c r="C5" s="203"/>
      <c r="D5" s="270" t="s">
        <v>208</v>
      </c>
      <c r="E5" s="206"/>
      <c r="F5" s="271"/>
      <c r="G5" s="204"/>
      <c r="H5" s="260"/>
      <c r="I5" s="201"/>
    </row>
    <row r="6" spans="1:10" x14ac:dyDescent="0.25">
      <c r="A6" s="145"/>
      <c r="B6" s="259" t="s">
        <v>184</v>
      </c>
      <c r="C6" s="203"/>
      <c r="D6" s="270" t="s">
        <v>209</v>
      </c>
      <c r="E6" s="206"/>
      <c r="F6" s="271"/>
      <c r="G6" s="260"/>
      <c r="H6" s="260"/>
      <c r="I6" s="258"/>
    </row>
    <row r="7" spans="1:10" x14ac:dyDescent="0.25">
      <c r="A7" s="145"/>
      <c r="B7" s="259" t="s">
        <v>184</v>
      </c>
      <c r="C7" s="203"/>
      <c r="D7" s="270" t="s">
        <v>209</v>
      </c>
      <c r="E7" s="206"/>
      <c r="F7" s="271"/>
      <c r="G7" s="260"/>
      <c r="H7" s="260"/>
      <c r="I7" s="258"/>
    </row>
    <row r="8" spans="1:10" ht="17.25" customHeight="1" thickBot="1" x14ac:dyDescent="0.3">
      <c r="A8" s="393"/>
      <c r="B8" s="394"/>
      <c r="C8" s="395"/>
      <c r="D8" s="396"/>
      <c r="E8" s="397"/>
      <c r="F8" s="397"/>
      <c r="G8" s="398"/>
      <c r="H8" s="398"/>
      <c r="I8" s="399"/>
    </row>
    <row r="9" spans="1:10" ht="26.25" thickBot="1" x14ac:dyDescent="0.3">
      <c r="A9" s="468" t="s">
        <v>387</v>
      </c>
      <c r="B9" s="451" t="s">
        <v>368</v>
      </c>
      <c r="C9" s="451" t="s">
        <v>182</v>
      </c>
      <c r="D9" s="392" t="s">
        <v>397</v>
      </c>
      <c r="E9" s="452" t="s">
        <v>396</v>
      </c>
      <c r="F9" s="452" t="s">
        <v>206</v>
      </c>
      <c r="G9" s="453" t="s">
        <v>433</v>
      </c>
      <c r="H9" s="452"/>
      <c r="I9" s="454"/>
      <c r="J9" s="445"/>
    </row>
    <row r="10" spans="1:10" x14ac:dyDescent="0.25">
      <c r="A10" s="455" t="s">
        <v>388</v>
      </c>
      <c r="B10" s="466" t="s">
        <v>184</v>
      </c>
      <c r="C10" s="268">
        <v>1</v>
      </c>
      <c r="D10" s="268">
        <v>1</v>
      </c>
      <c r="E10" s="449">
        <f>'Prieskum trhu - komerčný cloud'!U3</f>
        <v>409.31200000000007</v>
      </c>
      <c r="F10" s="447">
        <f>C10*E10</f>
        <v>409.31200000000007</v>
      </c>
      <c r="G10" s="446" t="s">
        <v>434</v>
      </c>
      <c r="H10" s="448"/>
      <c r="I10" s="456"/>
    </row>
    <row r="11" spans="1:10" x14ac:dyDescent="0.25">
      <c r="A11" s="455" t="s">
        <v>389</v>
      </c>
      <c r="B11" s="466" t="s">
        <v>184</v>
      </c>
      <c r="C11" s="268">
        <v>1</v>
      </c>
      <c r="D11" s="268">
        <v>1</v>
      </c>
      <c r="E11" s="449">
        <f>'Prieskum trhu - komerčný cloud'!U4</f>
        <v>409.31200000000007</v>
      </c>
      <c r="F11" s="447">
        <f t="shared" ref="F11:F17" si="0">C11*E11</f>
        <v>409.31200000000007</v>
      </c>
      <c r="G11" s="446" t="s">
        <v>434</v>
      </c>
      <c r="H11" s="448"/>
      <c r="I11" s="456"/>
    </row>
    <row r="12" spans="1:10" x14ac:dyDescent="0.25">
      <c r="A12" s="455" t="s">
        <v>390</v>
      </c>
      <c r="B12" s="466" t="s">
        <v>184</v>
      </c>
      <c r="C12" s="268">
        <v>1</v>
      </c>
      <c r="D12" s="268">
        <v>1</v>
      </c>
      <c r="E12" s="449">
        <f>'Prieskum trhu - komerčný cloud'!U5</f>
        <v>458.96159999999992</v>
      </c>
      <c r="F12" s="447">
        <f t="shared" si="0"/>
        <v>458.96159999999992</v>
      </c>
      <c r="G12" s="446" t="s">
        <v>434</v>
      </c>
      <c r="H12" s="448"/>
      <c r="I12" s="456"/>
    </row>
    <row r="13" spans="1:10" x14ac:dyDescent="0.25">
      <c r="A13" s="455" t="s">
        <v>391</v>
      </c>
      <c r="B13" s="466" t="s">
        <v>184</v>
      </c>
      <c r="C13" s="268">
        <v>1</v>
      </c>
      <c r="D13" s="268">
        <v>1</v>
      </c>
      <c r="E13" s="449">
        <f>'Prieskum trhu - komerčný cloud'!U6</f>
        <v>1941.086</v>
      </c>
      <c r="F13" s="447">
        <f t="shared" si="0"/>
        <v>1941.086</v>
      </c>
      <c r="G13" s="446" t="s">
        <v>434</v>
      </c>
      <c r="H13" s="448"/>
      <c r="I13" s="456"/>
    </row>
    <row r="14" spans="1:10" x14ac:dyDescent="0.25">
      <c r="A14" s="455" t="s">
        <v>392</v>
      </c>
      <c r="B14" s="466" t="s">
        <v>184</v>
      </c>
      <c r="C14" s="268">
        <v>1</v>
      </c>
      <c r="D14" s="268">
        <v>1</v>
      </c>
      <c r="E14" s="449">
        <f>'Prieskum trhu - komerčný cloud'!U7</f>
        <v>467.15439999999995</v>
      </c>
      <c r="F14" s="447">
        <f t="shared" si="0"/>
        <v>467.15439999999995</v>
      </c>
      <c r="G14" s="446" t="s">
        <v>434</v>
      </c>
      <c r="H14" s="448"/>
      <c r="I14" s="456"/>
    </row>
    <row r="15" spans="1:10" x14ac:dyDescent="0.25">
      <c r="A15" s="455" t="s">
        <v>393</v>
      </c>
      <c r="B15" s="466" t="s">
        <v>184</v>
      </c>
      <c r="C15" s="268">
        <v>1</v>
      </c>
      <c r="D15" s="268">
        <v>1</v>
      </c>
      <c r="E15" s="449">
        <f>'Prieskum trhu - komerčný cloud'!U8</f>
        <v>424.86959999999999</v>
      </c>
      <c r="F15" s="447">
        <f t="shared" si="0"/>
        <v>424.86959999999999</v>
      </c>
      <c r="G15" s="446" t="s">
        <v>434</v>
      </c>
      <c r="H15" s="448"/>
      <c r="I15" s="456"/>
    </row>
    <row r="16" spans="1:10" x14ac:dyDescent="0.25">
      <c r="A16" s="455" t="s">
        <v>394</v>
      </c>
      <c r="B16" s="466" t="s">
        <v>184</v>
      </c>
      <c r="C16" s="268">
        <v>1</v>
      </c>
      <c r="D16" s="268">
        <v>1</v>
      </c>
      <c r="E16" s="449">
        <f>'Prieskum trhu - komerčný cloud'!U9</f>
        <v>409.31200000000007</v>
      </c>
      <c r="F16" s="447">
        <f t="shared" si="0"/>
        <v>409.31200000000007</v>
      </c>
      <c r="G16" s="446" t="s">
        <v>434</v>
      </c>
      <c r="H16" s="448"/>
      <c r="I16" s="456"/>
    </row>
    <row r="17" spans="1:9" x14ac:dyDescent="0.25">
      <c r="A17" s="455" t="s">
        <v>395</v>
      </c>
      <c r="B17" s="466" t="s">
        <v>184</v>
      </c>
      <c r="C17" s="268">
        <v>1</v>
      </c>
      <c r="D17" s="268">
        <v>1</v>
      </c>
      <c r="E17" s="449">
        <f>'Prieskum trhu - komerčný cloud'!U10</f>
        <v>210.648</v>
      </c>
      <c r="F17" s="447">
        <f t="shared" si="0"/>
        <v>210.648</v>
      </c>
      <c r="G17" s="446" t="s">
        <v>434</v>
      </c>
      <c r="H17" s="448"/>
      <c r="I17" s="456"/>
    </row>
    <row r="18" spans="1:9" ht="15.75" thickBot="1" x14ac:dyDescent="0.3">
      <c r="A18" s="469" t="s">
        <v>69</v>
      </c>
      <c r="B18" s="467"/>
      <c r="C18" s="457"/>
      <c r="D18" s="457"/>
      <c r="E18" s="458">
        <f>SUM(E10:E17)</f>
        <v>4730.6556</v>
      </c>
      <c r="F18" s="450">
        <f>SUM(F10:F17)</f>
        <v>4730.6556</v>
      </c>
      <c r="G18" s="459" t="s">
        <v>434</v>
      </c>
      <c r="H18" s="460"/>
      <c r="I18" s="461"/>
    </row>
  </sheetData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8153-8926-4B76-8EE8-2EB9D8BCB493}">
  <sheetPr>
    <tabColor rgb="FFFFFFCC"/>
  </sheetPr>
  <dimension ref="A1:U21"/>
  <sheetViews>
    <sheetView workbookViewId="0">
      <selection activeCell="O32" sqref="O32"/>
    </sheetView>
  </sheetViews>
  <sheetFormatPr defaultRowHeight="15" x14ac:dyDescent="0.25"/>
  <cols>
    <col min="1" max="1" width="16.5703125" customWidth="1"/>
    <col min="9" max="9" width="14.28515625" customWidth="1"/>
    <col min="10" max="11" width="13.140625" customWidth="1"/>
    <col min="12" max="12" width="13" customWidth="1"/>
    <col min="14" max="14" width="13.5703125" customWidth="1"/>
    <col min="15" max="16" width="11.28515625" customWidth="1"/>
    <col min="19" max="19" width="12.5703125" customWidth="1"/>
    <col min="20" max="20" width="11.5703125" customWidth="1"/>
    <col min="21" max="22" width="18.42578125" customWidth="1"/>
  </cols>
  <sheetData>
    <row r="1" spans="1:21" ht="15" customHeight="1" x14ac:dyDescent="0.25">
      <c r="A1" s="559" t="s">
        <v>0</v>
      </c>
      <c r="B1" s="557" t="s">
        <v>422</v>
      </c>
      <c r="C1" s="557" t="s">
        <v>423</v>
      </c>
      <c r="D1" s="557" t="s">
        <v>424</v>
      </c>
      <c r="E1" s="557" t="s">
        <v>425</v>
      </c>
      <c r="F1" s="561"/>
      <c r="G1" s="567" t="s">
        <v>398</v>
      </c>
      <c r="H1" s="563" t="s">
        <v>400</v>
      </c>
      <c r="I1" s="563" t="s">
        <v>429</v>
      </c>
      <c r="J1" s="563" t="s">
        <v>428</v>
      </c>
      <c r="K1" s="565" t="s">
        <v>427</v>
      </c>
      <c r="L1" s="569" t="s">
        <v>399</v>
      </c>
      <c r="M1" s="555" t="s">
        <v>400</v>
      </c>
      <c r="N1" s="555" t="s">
        <v>429</v>
      </c>
      <c r="O1" s="555" t="s">
        <v>428</v>
      </c>
      <c r="P1" s="571" t="s">
        <v>427</v>
      </c>
      <c r="Q1" s="579" t="s">
        <v>421</v>
      </c>
      <c r="R1" s="573" t="s">
        <v>400</v>
      </c>
      <c r="S1" s="573" t="s">
        <v>401</v>
      </c>
      <c r="T1" s="575" t="s">
        <v>402</v>
      </c>
      <c r="U1" s="577" t="s">
        <v>431</v>
      </c>
    </row>
    <row r="2" spans="1:21" x14ac:dyDescent="0.25">
      <c r="A2" s="560"/>
      <c r="B2" s="558"/>
      <c r="C2" s="558"/>
      <c r="D2" s="558"/>
      <c r="E2" s="558"/>
      <c r="F2" s="562"/>
      <c r="G2" s="568"/>
      <c r="H2" s="564"/>
      <c r="I2" s="564"/>
      <c r="J2" s="564"/>
      <c r="K2" s="566"/>
      <c r="L2" s="570"/>
      <c r="M2" s="556"/>
      <c r="N2" s="556"/>
      <c r="O2" s="556"/>
      <c r="P2" s="572"/>
      <c r="Q2" s="580"/>
      <c r="R2" s="574"/>
      <c r="S2" s="574"/>
      <c r="T2" s="576"/>
      <c r="U2" s="578"/>
    </row>
    <row r="3" spans="1:21" x14ac:dyDescent="0.25">
      <c r="A3" s="436" t="s">
        <v>388</v>
      </c>
      <c r="B3" s="437">
        <v>2</v>
      </c>
      <c r="C3" s="437">
        <v>4</v>
      </c>
      <c r="D3" s="437">
        <v>30</v>
      </c>
      <c r="E3" s="437"/>
      <c r="F3" s="438"/>
      <c r="G3" s="416" t="s">
        <v>403</v>
      </c>
      <c r="H3" s="403" t="s">
        <v>404</v>
      </c>
      <c r="I3" s="429">
        <v>23.1</v>
      </c>
      <c r="J3" s="429">
        <f t="shared" ref="J3:J10" si="0">I3*12</f>
        <v>277.20000000000005</v>
      </c>
      <c r="K3" s="425">
        <f>J3*$B$13</f>
        <v>246.70800000000006</v>
      </c>
      <c r="L3" s="420" t="s">
        <v>405</v>
      </c>
      <c r="M3" s="404" t="s">
        <v>406</v>
      </c>
      <c r="N3" s="430">
        <v>35.1</v>
      </c>
      <c r="O3" s="430">
        <f>N3*12</f>
        <v>421.20000000000005</v>
      </c>
      <c r="P3" s="426">
        <f>O3*$B$13</f>
        <v>374.86800000000005</v>
      </c>
      <c r="Q3" s="412"/>
      <c r="R3" s="405"/>
      <c r="S3" s="427">
        <v>50.53</v>
      </c>
      <c r="T3" s="428">
        <f>S3*12</f>
        <v>606.36</v>
      </c>
      <c r="U3" s="433">
        <f>(K3+P3+T3)/3</f>
        <v>409.31200000000007</v>
      </c>
    </row>
    <row r="4" spans="1:21" x14ac:dyDescent="0.25">
      <c r="A4" s="436" t="s">
        <v>389</v>
      </c>
      <c r="B4" s="437">
        <v>2</v>
      </c>
      <c r="C4" s="437">
        <v>4</v>
      </c>
      <c r="D4" s="437">
        <v>30</v>
      </c>
      <c r="E4" s="437"/>
      <c r="F4" s="438"/>
      <c r="G4" s="416" t="s">
        <v>403</v>
      </c>
      <c r="H4" s="403" t="s">
        <v>404</v>
      </c>
      <c r="I4" s="429">
        <v>23.1</v>
      </c>
      <c r="J4" s="429">
        <f t="shared" si="0"/>
        <v>277.20000000000005</v>
      </c>
      <c r="K4" s="425">
        <f t="shared" ref="K4:K10" si="1">J4*$B$13</f>
        <v>246.70800000000006</v>
      </c>
      <c r="L4" s="420" t="s">
        <v>405</v>
      </c>
      <c r="M4" s="404" t="s">
        <v>406</v>
      </c>
      <c r="N4" s="430">
        <v>35.1</v>
      </c>
      <c r="O4" s="430">
        <f>N4*12</f>
        <v>421.20000000000005</v>
      </c>
      <c r="P4" s="426">
        <f t="shared" ref="P4:P10" si="2">O4*$B$13</f>
        <v>374.86800000000005</v>
      </c>
      <c r="Q4" s="412"/>
      <c r="R4" s="405"/>
      <c r="S4" s="427">
        <v>50.53</v>
      </c>
      <c r="T4" s="428">
        <f t="shared" ref="T4:T10" si="3">S4*12</f>
        <v>606.36</v>
      </c>
      <c r="U4" s="433">
        <f t="shared" ref="U4:U10" si="4">(K4+P4+T4)/3</f>
        <v>409.31200000000007</v>
      </c>
    </row>
    <row r="5" spans="1:21" x14ac:dyDescent="0.25">
      <c r="A5" s="436" t="s">
        <v>390</v>
      </c>
      <c r="B5" s="437">
        <v>2</v>
      </c>
      <c r="C5" s="437">
        <v>4</v>
      </c>
      <c r="D5" s="437"/>
      <c r="E5" s="437">
        <v>80</v>
      </c>
      <c r="F5" s="438"/>
      <c r="G5" s="416" t="s">
        <v>403</v>
      </c>
      <c r="H5" s="403" t="s">
        <v>407</v>
      </c>
      <c r="I5" s="429">
        <v>26.5</v>
      </c>
      <c r="J5" s="429">
        <f t="shared" si="0"/>
        <v>318</v>
      </c>
      <c r="K5" s="425">
        <f t="shared" si="1"/>
        <v>283.02</v>
      </c>
      <c r="L5" s="420" t="s">
        <v>405</v>
      </c>
      <c r="M5" s="404" t="s">
        <v>408</v>
      </c>
      <c r="N5" s="430">
        <v>35.86</v>
      </c>
      <c r="O5" s="430">
        <f t="shared" ref="O5:O10" si="5">N5*12</f>
        <v>430.32</v>
      </c>
      <c r="P5" s="426">
        <f t="shared" si="2"/>
        <v>382.98480000000001</v>
      </c>
      <c r="Q5" s="412"/>
      <c r="R5" s="405"/>
      <c r="S5" s="427">
        <v>59.24</v>
      </c>
      <c r="T5" s="428">
        <f t="shared" si="3"/>
        <v>710.88</v>
      </c>
      <c r="U5" s="433">
        <f t="shared" si="4"/>
        <v>458.96159999999992</v>
      </c>
    </row>
    <row r="6" spans="1:21" x14ac:dyDescent="0.25">
      <c r="A6" s="436" t="s">
        <v>391</v>
      </c>
      <c r="B6" s="437">
        <v>8</v>
      </c>
      <c r="C6" s="437">
        <v>8</v>
      </c>
      <c r="D6" s="437">
        <v>30</v>
      </c>
      <c r="E6" s="437">
        <v>100</v>
      </c>
      <c r="F6" s="438"/>
      <c r="G6" s="416" t="s">
        <v>409</v>
      </c>
      <c r="H6" s="403" t="s">
        <v>407</v>
      </c>
      <c r="I6" s="429">
        <v>169.94</v>
      </c>
      <c r="J6" s="429">
        <f t="shared" si="0"/>
        <v>2039.28</v>
      </c>
      <c r="K6" s="425">
        <f t="shared" si="1"/>
        <v>1814.9592</v>
      </c>
      <c r="L6" s="420" t="s">
        <v>410</v>
      </c>
      <c r="M6" s="404" t="s">
        <v>406</v>
      </c>
      <c r="N6" s="430">
        <v>185.41</v>
      </c>
      <c r="O6" s="430">
        <f t="shared" si="5"/>
        <v>2224.92</v>
      </c>
      <c r="P6" s="426">
        <f t="shared" si="2"/>
        <v>1980.1788000000001</v>
      </c>
      <c r="Q6" s="412"/>
      <c r="R6" s="405"/>
      <c r="S6" s="427">
        <v>169.01</v>
      </c>
      <c r="T6" s="428">
        <f t="shared" si="3"/>
        <v>2028.12</v>
      </c>
      <c r="U6" s="433">
        <f t="shared" si="4"/>
        <v>1941.086</v>
      </c>
    </row>
    <row r="7" spans="1:21" x14ac:dyDescent="0.25">
      <c r="A7" s="436" t="s">
        <v>392</v>
      </c>
      <c r="B7" s="437">
        <v>2</v>
      </c>
      <c r="C7" s="437">
        <v>4</v>
      </c>
      <c r="D7" s="437"/>
      <c r="E7" s="437">
        <v>100</v>
      </c>
      <c r="F7" s="438"/>
      <c r="G7" s="416" t="s">
        <v>403</v>
      </c>
      <c r="H7" s="403" t="s">
        <v>407</v>
      </c>
      <c r="I7" s="429">
        <v>26.5</v>
      </c>
      <c r="J7" s="429">
        <f t="shared" si="0"/>
        <v>318</v>
      </c>
      <c r="K7" s="425">
        <f t="shared" si="1"/>
        <v>283.02</v>
      </c>
      <c r="L7" s="420" t="s">
        <v>405</v>
      </c>
      <c r="M7" s="404" t="s">
        <v>408</v>
      </c>
      <c r="N7" s="430">
        <v>31.54</v>
      </c>
      <c r="O7" s="430">
        <f>N8*12</f>
        <v>410.88</v>
      </c>
      <c r="P7" s="426">
        <f t="shared" si="2"/>
        <v>365.6832</v>
      </c>
      <c r="Q7" s="412"/>
      <c r="R7" s="405"/>
      <c r="S7" s="427">
        <v>62.73</v>
      </c>
      <c r="T7" s="428">
        <f t="shared" si="3"/>
        <v>752.76</v>
      </c>
      <c r="U7" s="433">
        <f t="shared" si="4"/>
        <v>467.15439999999995</v>
      </c>
    </row>
    <row r="8" spans="1:21" x14ac:dyDescent="0.25">
      <c r="A8" s="436" t="s">
        <v>393</v>
      </c>
      <c r="B8" s="437">
        <v>2</v>
      </c>
      <c r="C8" s="437">
        <v>4</v>
      </c>
      <c r="D8" s="437"/>
      <c r="E8" s="437">
        <v>50</v>
      </c>
      <c r="F8" s="438"/>
      <c r="G8" s="416" t="s">
        <v>403</v>
      </c>
      <c r="H8" s="403" t="s">
        <v>411</v>
      </c>
      <c r="I8" s="429">
        <v>23.56</v>
      </c>
      <c r="J8" s="429">
        <f t="shared" si="0"/>
        <v>282.71999999999997</v>
      </c>
      <c r="K8" s="425">
        <f t="shared" si="1"/>
        <v>251.62079999999997</v>
      </c>
      <c r="L8" s="420" t="s">
        <v>405</v>
      </c>
      <c r="M8" s="404" t="s">
        <v>408</v>
      </c>
      <c r="N8" s="430">
        <v>34.24</v>
      </c>
      <c r="O8" s="430">
        <f>N9*12</f>
        <v>421.20000000000005</v>
      </c>
      <c r="P8" s="426">
        <f t="shared" si="2"/>
        <v>374.86800000000005</v>
      </c>
      <c r="Q8" s="412"/>
      <c r="R8" s="405"/>
      <c r="S8" s="427">
        <v>54.01</v>
      </c>
      <c r="T8" s="428">
        <f t="shared" si="3"/>
        <v>648.12</v>
      </c>
      <c r="U8" s="433">
        <f t="shared" si="4"/>
        <v>424.86959999999999</v>
      </c>
    </row>
    <row r="9" spans="1:21" x14ac:dyDescent="0.25">
      <c r="A9" s="436" t="s">
        <v>394</v>
      </c>
      <c r="B9" s="437">
        <v>2</v>
      </c>
      <c r="C9" s="437">
        <v>4</v>
      </c>
      <c r="D9" s="437">
        <v>30</v>
      </c>
      <c r="E9" s="437"/>
      <c r="F9" s="438"/>
      <c r="G9" s="416" t="s">
        <v>403</v>
      </c>
      <c r="H9" s="403" t="s">
        <v>404</v>
      </c>
      <c r="I9" s="429">
        <v>23.1</v>
      </c>
      <c r="J9" s="429">
        <f t="shared" si="0"/>
        <v>277.20000000000005</v>
      </c>
      <c r="K9" s="425">
        <f t="shared" si="1"/>
        <v>246.70800000000006</v>
      </c>
      <c r="L9" s="420" t="s">
        <v>405</v>
      </c>
      <c r="M9" s="404" t="s">
        <v>406</v>
      </c>
      <c r="N9" s="430">
        <v>35.1</v>
      </c>
      <c r="O9" s="430">
        <f t="shared" si="5"/>
        <v>421.20000000000005</v>
      </c>
      <c r="P9" s="426">
        <f t="shared" si="2"/>
        <v>374.86800000000005</v>
      </c>
      <c r="Q9" s="412"/>
      <c r="R9" s="405"/>
      <c r="S9" s="427">
        <v>50.53</v>
      </c>
      <c r="T9" s="428">
        <f t="shared" si="3"/>
        <v>606.36</v>
      </c>
      <c r="U9" s="433">
        <f t="shared" si="4"/>
        <v>409.31200000000007</v>
      </c>
    </row>
    <row r="10" spans="1:21" x14ac:dyDescent="0.25">
      <c r="A10" s="436" t="s">
        <v>395</v>
      </c>
      <c r="B10" s="437">
        <v>1</v>
      </c>
      <c r="C10" s="437">
        <v>2</v>
      </c>
      <c r="D10" s="437">
        <v>20</v>
      </c>
      <c r="E10" s="437"/>
      <c r="F10" s="438"/>
      <c r="G10" s="416" t="s">
        <v>412</v>
      </c>
      <c r="H10" s="403" t="s">
        <v>413</v>
      </c>
      <c r="I10" s="429">
        <v>11.65</v>
      </c>
      <c r="J10" s="429">
        <f t="shared" si="0"/>
        <v>139.80000000000001</v>
      </c>
      <c r="K10" s="425">
        <f t="shared" si="1"/>
        <v>124.42200000000001</v>
      </c>
      <c r="L10" s="420" t="s">
        <v>414</v>
      </c>
      <c r="M10" s="404" t="s">
        <v>406</v>
      </c>
      <c r="N10" s="430">
        <v>18.149999999999999</v>
      </c>
      <c r="O10" s="430">
        <f t="shared" si="5"/>
        <v>217.79999999999998</v>
      </c>
      <c r="P10" s="426">
        <f t="shared" si="2"/>
        <v>193.84199999999998</v>
      </c>
      <c r="Q10" s="412"/>
      <c r="R10" s="405"/>
      <c r="S10" s="427">
        <v>26.14</v>
      </c>
      <c r="T10" s="428">
        <f t="shared" si="3"/>
        <v>313.68</v>
      </c>
      <c r="U10" s="433">
        <f t="shared" si="4"/>
        <v>210.648</v>
      </c>
    </row>
    <row r="11" spans="1:21" x14ac:dyDescent="0.25">
      <c r="A11" s="439" t="s">
        <v>69</v>
      </c>
      <c r="B11" s="440">
        <f>SUM(B3:B10)</f>
        <v>21</v>
      </c>
      <c r="C11" s="440">
        <f t="shared" ref="C11:E11" si="6">SUM(C3:C10)</f>
        <v>34</v>
      </c>
      <c r="D11" s="440">
        <f t="shared" si="6"/>
        <v>140</v>
      </c>
      <c r="E11" s="440">
        <f t="shared" si="6"/>
        <v>330</v>
      </c>
      <c r="F11" s="441"/>
      <c r="G11" s="414"/>
      <c r="H11" s="400" t="s">
        <v>415</v>
      </c>
      <c r="I11" s="400">
        <f t="shared" ref="I11:J11" si="7">SUM(I3:I10)</f>
        <v>327.45</v>
      </c>
      <c r="J11" s="400">
        <f t="shared" si="7"/>
        <v>3929.4000000000005</v>
      </c>
      <c r="K11" s="415"/>
      <c r="L11" s="420"/>
      <c r="M11" s="401" t="s">
        <v>415</v>
      </c>
      <c r="N11" s="401">
        <f>SUM(N3:N10)</f>
        <v>410.50000000000006</v>
      </c>
      <c r="O11" s="401">
        <f>SUM(O3:O10)</f>
        <v>4968.72</v>
      </c>
      <c r="P11" s="419"/>
      <c r="Q11" s="412"/>
      <c r="R11" s="402"/>
      <c r="S11" s="405"/>
      <c r="T11" s="406"/>
      <c r="U11" s="434"/>
    </row>
    <row r="12" spans="1:21" ht="15.75" thickBot="1" x14ac:dyDescent="0.3">
      <c r="A12" s="442"/>
      <c r="B12" s="443"/>
      <c r="C12" s="443"/>
      <c r="D12" s="443"/>
      <c r="E12" s="443"/>
      <c r="F12" s="444"/>
      <c r="G12" s="417"/>
      <c r="H12" s="407" t="s">
        <v>416</v>
      </c>
      <c r="I12" s="408">
        <f>I11*$B$13</f>
        <v>291.43049999999999</v>
      </c>
      <c r="J12" s="408">
        <f>J11*$B$13</f>
        <v>3497.1660000000006</v>
      </c>
      <c r="K12" s="418">
        <f>SUM(K3:K10)</f>
        <v>3497.1660000000002</v>
      </c>
      <c r="L12" s="421"/>
      <c r="M12" s="409" t="s">
        <v>416</v>
      </c>
      <c r="N12" s="410">
        <f>N11*$B$13</f>
        <v>365.34500000000008</v>
      </c>
      <c r="O12" s="410">
        <f>O11*$B$13</f>
        <v>4422.1608000000006</v>
      </c>
      <c r="P12" s="422">
        <f>SUM(P3:P10)</f>
        <v>4422.1607999999997</v>
      </c>
      <c r="Q12" s="413"/>
      <c r="R12" s="411" t="s">
        <v>416</v>
      </c>
      <c r="S12" s="431">
        <f>SUM(S3:S10)</f>
        <v>522.72</v>
      </c>
      <c r="T12" s="432">
        <f>SUM(T3:T10)</f>
        <v>6272.6399999999994</v>
      </c>
      <c r="U12" s="435">
        <f>SUM(U3:U10)</f>
        <v>4730.6556</v>
      </c>
    </row>
    <row r="13" spans="1:21" x14ac:dyDescent="0.25">
      <c r="A13" s="423" t="s">
        <v>430</v>
      </c>
      <c r="B13" s="424">
        <v>0.89</v>
      </c>
    </row>
    <row r="14" spans="1:21" x14ac:dyDescent="0.25">
      <c r="A14" s="389"/>
      <c r="B14" s="389"/>
    </row>
    <row r="15" spans="1:21" x14ac:dyDescent="0.25">
      <c r="A15" s="378" t="s">
        <v>432</v>
      </c>
    </row>
    <row r="16" spans="1:21" x14ac:dyDescent="0.25">
      <c r="A16" t="s">
        <v>417</v>
      </c>
      <c r="B16" s="267" t="s">
        <v>418</v>
      </c>
    </row>
    <row r="17" spans="1:2" x14ac:dyDescent="0.25">
      <c r="A17" t="s">
        <v>399</v>
      </c>
      <c r="B17" s="267" t="s">
        <v>419</v>
      </c>
    </row>
    <row r="18" spans="1:2" x14ac:dyDescent="0.25">
      <c r="A18" t="s">
        <v>426</v>
      </c>
      <c r="B18" s="267" t="s">
        <v>420</v>
      </c>
    </row>
    <row r="20" spans="1:2" x14ac:dyDescent="0.25">
      <c r="A20" t="s">
        <v>440</v>
      </c>
    </row>
    <row r="21" spans="1:2" x14ac:dyDescent="0.25">
      <c r="A21" s="470" t="s">
        <v>441</v>
      </c>
      <c r="B21" s="471">
        <v>0</v>
      </c>
    </row>
  </sheetData>
  <mergeCells count="21">
    <mergeCell ref="P1:P2"/>
    <mergeCell ref="R1:R2"/>
    <mergeCell ref="S1:S2"/>
    <mergeCell ref="T1:T2"/>
    <mergeCell ref="U1:U2"/>
    <mergeCell ref="Q1:Q2"/>
    <mergeCell ref="M1:M2"/>
    <mergeCell ref="N1:N2"/>
    <mergeCell ref="O1:O2"/>
    <mergeCell ref="B1:B2"/>
    <mergeCell ref="A1:A2"/>
    <mergeCell ref="C1:C2"/>
    <mergeCell ref="D1:D2"/>
    <mergeCell ref="E1:E2"/>
    <mergeCell ref="F1:F2"/>
    <mergeCell ref="I1:I2"/>
    <mergeCell ref="J1:J2"/>
    <mergeCell ref="K1:K2"/>
    <mergeCell ref="G1:G2"/>
    <mergeCell ref="L1:L2"/>
    <mergeCell ref="H1:H2"/>
  </mergeCells>
  <hyperlinks>
    <hyperlink ref="B16" r:id="rId1" xr:uid="{3CD910A5-CA79-43FB-BBB1-5E3C46C78BB4}"/>
    <hyperlink ref="B17" r:id="rId2" location="/estimate?id=f8f60a8c50a85bed2a91ed0000cee333e6e74acb" xr:uid="{C51BF350-093F-415C-92B3-5A1D57D61111}"/>
    <hyperlink ref="B18" r:id="rId3" xr:uid="{6A689726-1E98-40A0-B6EC-4E715E6123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view="pageBreakPreview" zoomScale="60" zoomScaleNormal="100" workbookViewId="0">
      <selection sqref="A1:Y1"/>
    </sheetView>
  </sheetViews>
  <sheetFormatPr defaultColWidth="8.85546875" defaultRowHeight="15" x14ac:dyDescent="0.25"/>
  <cols>
    <col min="1" max="1" width="25.42578125" customWidth="1"/>
    <col min="2" max="2" width="79" bestFit="1" customWidth="1"/>
    <col min="3" max="3" width="70" bestFit="1" customWidth="1"/>
  </cols>
  <sheetData>
    <row r="1" spans="1:3" ht="19.5" thickBot="1" x14ac:dyDescent="0.35">
      <c r="A1" s="159" t="s">
        <v>129</v>
      </c>
    </row>
    <row r="2" spans="1:3" ht="15.75" thickBot="1" x14ac:dyDescent="0.3">
      <c r="A2" s="160" t="s">
        <v>147</v>
      </c>
      <c r="B2" s="161" t="s">
        <v>148</v>
      </c>
      <c r="C2" s="162" t="s">
        <v>153</v>
      </c>
    </row>
    <row r="3" spans="1:3" x14ac:dyDescent="0.25">
      <c r="A3" s="167" t="s">
        <v>130</v>
      </c>
      <c r="B3" s="163" t="s">
        <v>150</v>
      </c>
      <c r="C3" s="124" t="s">
        <v>149</v>
      </c>
    </row>
    <row r="4" spans="1:3" x14ac:dyDescent="0.25">
      <c r="A4" s="168" t="s">
        <v>131</v>
      </c>
      <c r="B4" s="164" t="s">
        <v>151</v>
      </c>
      <c r="C4" s="165" t="s">
        <v>152</v>
      </c>
    </row>
    <row r="5" spans="1:3" x14ac:dyDescent="0.25">
      <c r="A5" s="168" t="s">
        <v>132</v>
      </c>
      <c r="B5" s="164" t="s">
        <v>154</v>
      </c>
      <c r="C5" s="165" t="s">
        <v>152</v>
      </c>
    </row>
    <row r="6" spans="1:3" x14ac:dyDescent="0.25">
      <c r="A6" s="168" t="s">
        <v>120</v>
      </c>
      <c r="B6" s="164" t="s">
        <v>155</v>
      </c>
      <c r="C6" s="123" t="s">
        <v>157</v>
      </c>
    </row>
    <row r="7" spans="1:3" x14ac:dyDescent="0.25">
      <c r="A7" s="168" t="s">
        <v>133</v>
      </c>
      <c r="B7" s="164" t="s">
        <v>156</v>
      </c>
      <c r="C7" s="165" t="s">
        <v>152</v>
      </c>
    </row>
    <row r="8" spans="1:3" x14ac:dyDescent="0.25">
      <c r="A8" s="168" t="s">
        <v>134</v>
      </c>
      <c r="B8" s="164" t="s">
        <v>158</v>
      </c>
      <c r="C8" s="123" t="s">
        <v>159</v>
      </c>
    </row>
    <row r="9" spans="1:3" x14ac:dyDescent="0.25">
      <c r="A9" s="168" t="s">
        <v>135</v>
      </c>
      <c r="B9" s="164" t="s">
        <v>160</v>
      </c>
      <c r="C9" s="165" t="s">
        <v>152</v>
      </c>
    </row>
    <row r="10" spans="1:3" x14ac:dyDescent="0.25">
      <c r="A10" s="168" t="s">
        <v>136</v>
      </c>
      <c r="B10" s="164" t="s">
        <v>161</v>
      </c>
      <c r="C10" s="123" t="s">
        <v>159</v>
      </c>
    </row>
    <row r="11" spans="1:3" x14ac:dyDescent="0.25">
      <c r="A11" s="168" t="s">
        <v>137</v>
      </c>
      <c r="B11" s="164" t="s">
        <v>162</v>
      </c>
      <c r="C11" s="123" t="s">
        <v>159</v>
      </c>
    </row>
    <row r="12" spans="1:3" x14ac:dyDescent="0.25">
      <c r="A12" s="168" t="s">
        <v>138</v>
      </c>
      <c r="B12" s="164" t="s">
        <v>163</v>
      </c>
      <c r="C12" s="123" t="s">
        <v>159</v>
      </c>
    </row>
    <row r="13" spans="1:3" x14ac:dyDescent="0.25">
      <c r="A13" s="168" t="s">
        <v>139</v>
      </c>
      <c r="B13" s="164" t="s">
        <v>164</v>
      </c>
      <c r="C13" s="123" t="s">
        <v>159</v>
      </c>
    </row>
    <row r="14" spans="1:3" x14ac:dyDescent="0.25">
      <c r="A14" s="168" t="s">
        <v>140</v>
      </c>
      <c r="B14" s="164" t="s">
        <v>186</v>
      </c>
      <c r="C14" s="123" t="s">
        <v>165</v>
      </c>
    </row>
    <row r="15" spans="1:3" x14ac:dyDescent="0.25">
      <c r="A15" s="168" t="s">
        <v>185</v>
      </c>
      <c r="B15" s="164" t="s">
        <v>187</v>
      </c>
      <c r="C15" s="123" t="s">
        <v>159</v>
      </c>
    </row>
    <row r="16" spans="1:3" x14ac:dyDescent="0.25">
      <c r="A16" s="168" t="s">
        <v>141</v>
      </c>
      <c r="B16" s="164" t="s">
        <v>166</v>
      </c>
      <c r="C16" s="123" t="s">
        <v>167</v>
      </c>
    </row>
    <row r="17" spans="1:3" x14ac:dyDescent="0.25">
      <c r="A17" s="168" t="s">
        <v>142</v>
      </c>
      <c r="B17" s="164" t="s">
        <v>168</v>
      </c>
      <c r="C17" s="123" t="s">
        <v>169</v>
      </c>
    </row>
    <row r="18" spans="1:3" ht="30" x14ac:dyDescent="0.25">
      <c r="A18" s="168" t="s">
        <v>143</v>
      </c>
      <c r="B18" s="166" t="s">
        <v>170</v>
      </c>
      <c r="C18" s="169" t="s">
        <v>171</v>
      </c>
    </row>
    <row r="19" spans="1:3" x14ac:dyDescent="0.25">
      <c r="A19" s="168" t="s">
        <v>144</v>
      </c>
      <c r="B19" s="164" t="s">
        <v>172</v>
      </c>
      <c r="C19" s="123" t="s">
        <v>173</v>
      </c>
    </row>
    <row r="20" spans="1:3" x14ac:dyDescent="0.25">
      <c r="A20" s="168" t="s">
        <v>145</v>
      </c>
      <c r="B20" s="164" t="s">
        <v>174</v>
      </c>
      <c r="C20" s="123" t="s">
        <v>176</v>
      </c>
    </row>
    <row r="21" spans="1:3" x14ac:dyDescent="0.25">
      <c r="A21" s="168" t="s">
        <v>146</v>
      </c>
      <c r="B21" s="164" t="s">
        <v>175</v>
      </c>
      <c r="C21" s="123" t="s">
        <v>176</v>
      </c>
    </row>
  </sheetData>
  <sheetProtection password="C3D8" sheet="1" objects="1" scenarios="1"/>
  <hyperlinks>
    <hyperlink ref="A3" location="Sumarizácia!R1C1" display="Sumarizácia" xr:uid="{00000000-0004-0000-0100-000000000000}"/>
    <hyperlink ref="A4" location="'CBA - Agendové IS'!R1C1" display="CBA" xr:uid="{00000000-0004-0000-0100-000001000000}"/>
    <hyperlink ref="A5" location="'Analyza citlivosti - AgendovéIS'!R1C1" display="Analyza citlivosti" xr:uid="{00000000-0004-0000-0100-000002000000}"/>
    <hyperlink ref="A6" location="'Prínosy - Agendové IS'!R1C1" display="Prínosy" xr:uid="{00000000-0004-0000-0100-000003000000}"/>
    <hyperlink ref="A7" location="'Výdavky - Agendové IS'!R1C1" display="Výdavky" xr:uid="{00000000-0004-0000-0100-000004000000}"/>
    <hyperlink ref="A8" location="'Parametre - Agendové IS'!R1C1" display="Parametre" xr:uid="{00000000-0004-0000-0100-000005000000}"/>
    <hyperlink ref="A9" location="TCO!R1C1" display="TCO" xr:uid="{00000000-0004-0000-0100-000006000000}"/>
    <hyperlink ref="A10" location="'TCO Alt. 1 - SW'!R1C1" display="TCO Alt. 1 - SW" xr:uid="{00000000-0004-0000-0100-000007000000}"/>
    <hyperlink ref="A11" location="'TCO Alt. 1 - HW'!R1C1" display="TCO Alt. 1 - HW" xr:uid="{00000000-0004-0000-0100-000008000000}"/>
    <hyperlink ref="A12" location="'TCO Alt. 2 - SW'!R1C1" display="TCO Alt. 2 - SW" xr:uid="{00000000-0004-0000-0100-000009000000}"/>
    <hyperlink ref="A13" location="'TCO Alt. 2 - HW'!R1C1" display="TCO Alt. 2 - HW" xr:uid="{00000000-0004-0000-0100-00000A000000}"/>
    <hyperlink ref="A14" location="'Rozpočet - vývoj Aplikácií'!R1C1" display="Rozpočet - vývoj aplikácii" xr:uid="{00000000-0004-0000-0100-00000B000000}"/>
    <hyperlink ref="A16" location="'Slepý rozpočet'!R1C1" display="Slepý rozpočet" xr:uid="{00000000-0004-0000-0100-00000C000000}"/>
    <hyperlink ref="A17" location="Faktory!R1C1" display="Faktory" xr:uid="{00000000-0004-0000-0100-00000D000000}"/>
    <hyperlink ref="A18" location="'Meranie prínosov'!R1C1" display="Meranie prínosov" xr:uid="{00000000-0004-0000-0100-00000E000000}"/>
    <hyperlink ref="A19" location="'Procesné mapy'!R1C1" display="Procesné mapy" xr:uid="{00000000-0004-0000-0100-00000F000000}"/>
    <hyperlink ref="A20" location="'Procesy - AS IS'!R1C1" display="Procesy AS IS" xr:uid="{00000000-0004-0000-0100-000010000000}"/>
    <hyperlink ref="A21" location="'Procesy - TO BE'!R1C1" display="Procesy TO BE" xr:uid="{00000000-0004-0000-0100-000011000000}"/>
    <hyperlink ref="A15" location="'Rozpočet - HW a licencie'!R1C1" display="Rozpočet - HW a licencie" xr:uid="{00000000-0004-0000-0100-000012000000}"/>
  </hyperlink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</sheetPr>
  <dimension ref="A1:V32"/>
  <sheetViews>
    <sheetView view="pageBreakPreview" topLeftCell="A2" zoomScaleNormal="100" zoomScaleSheetLayoutView="100" workbookViewId="0">
      <selection activeCell="D4" sqref="D4"/>
    </sheetView>
  </sheetViews>
  <sheetFormatPr defaultColWidth="9.140625" defaultRowHeight="15" x14ac:dyDescent="0.25"/>
  <cols>
    <col min="1" max="1" width="9.140625" style="192"/>
    <col min="2" max="2" width="9.140625" style="192" customWidth="1"/>
    <col min="3" max="3" width="32" style="192" customWidth="1"/>
    <col min="4" max="4" width="15.5703125" style="192" bestFit="1" customWidth="1"/>
    <col min="5" max="5" width="15.140625" style="192" bestFit="1" customWidth="1"/>
    <col min="6" max="6" width="15.5703125" style="192" bestFit="1" customWidth="1"/>
    <col min="7" max="7" width="12.7109375" style="192" bestFit="1" customWidth="1"/>
    <col min="8" max="8" width="19.85546875" style="192" customWidth="1"/>
    <col min="9" max="9" width="15.5703125" style="192" bestFit="1" customWidth="1"/>
    <col min="10" max="14" width="9.140625" style="192"/>
    <col min="15" max="15" width="32.28515625" style="192" customWidth="1"/>
    <col min="16" max="18" width="15.42578125" style="192" bestFit="1" customWidth="1"/>
    <col min="19" max="19" width="12.85546875" style="192" bestFit="1" customWidth="1"/>
    <col min="20" max="20" width="20.42578125" style="192" customWidth="1"/>
    <col min="21" max="21" width="15.42578125" style="192" bestFit="1" customWidth="1"/>
    <col min="22" max="16384" width="9.140625" style="192"/>
  </cols>
  <sheetData>
    <row r="1" spans="1:21" ht="21.75" customHeight="1" thickBot="1" x14ac:dyDescent="0.3">
      <c r="A1" s="528" t="s">
        <v>194</v>
      </c>
      <c r="B1" s="528"/>
      <c r="C1" s="528"/>
      <c r="D1" s="191"/>
      <c r="E1" s="191"/>
      <c r="F1" s="191"/>
      <c r="G1" s="191"/>
      <c r="H1" s="191"/>
      <c r="I1" s="191"/>
      <c r="J1" s="191"/>
      <c r="K1" s="191"/>
      <c r="L1" s="191"/>
      <c r="M1" s="528" t="s">
        <v>195</v>
      </c>
      <c r="N1" s="528"/>
      <c r="O1" s="528"/>
    </row>
    <row r="2" spans="1:21" ht="30" x14ac:dyDescent="0.25">
      <c r="A2" s="529"/>
      <c r="B2" s="530"/>
      <c r="C2" s="531"/>
      <c r="D2" s="229" t="e">
        <f>#REF!</f>
        <v>#REF!</v>
      </c>
      <c r="E2" s="229" t="e">
        <f>#REF!</f>
        <v>#REF!</v>
      </c>
      <c r="F2" s="229" t="e">
        <f>#REF!</f>
        <v>#REF!</v>
      </c>
      <c r="G2" s="230" t="e">
        <f>#REF!</f>
        <v>#REF!</v>
      </c>
      <c r="H2" s="232" t="s">
        <v>189</v>
      </c>
      <c r="I2" s="231" t="s">
        <v>69</v>
      </c>
      <c r="M2" s="529"/>
      <c r="N2" s="530"/>
      <c r="O2" s="531"/>
      <c r="P2" s="229" t="e">
        <f>D2</f>
        <v>#REF!</v>
      </c>
      <c r="Q2" s="229" t="e">
        <f>E2</f>
        <v>#REF!</v>
      </c>
      <c r="R2" s="229" t="e">
        <f>F2</f>
        <v>#REF!</v>
      </c>
      <c r="S2" s="230" t="e">
        <f>G2</f>
        <v>#REF!</v>
      </c>
      <c r="T2" s="232" t="s">
        <v>189</v>
      </c>
      <c r="U2" s="231" t="s">
        <v>69</v>
      </c>
    </row>
    <row r="3" spans="1:21" x14ac:dyDescent="0.25">
      <c r="A3" s="172" t="s">
        <v>196</v>
      </c>
      <c r="B3" s="173"/>
      <c r="C3" s="174"/>
      <c r="D3" s="175" t="e">
        <f>D4+D5+D9+D13+D14</f>
        <v>#REF!</v>
      </c>
      <c r="E3" s="175" t="e">
        <f>E4+E5+E9+E13+E14</f>
        <v>#REF!</v>
      </c>
      <c r="F3" s="175" t="e">
        <f>F4+F5+F9+F13+F14</f>
        <v>#REF!</v>
      </c>
      <c r="G3" s="176" t="e">
        <f>G4+G5+G9+G13+G14</f>
        <v>#REF!</v>
      </c>
      <c r="H3" s="175" t="e">
        <f>H5+H9+H13+H14</f>
        <v>#REF!</v>
      </c>
      <c r="I3" s="193" t="e">
        <f>SUM(D3:H3)</f>
        <v>#REF!</v>
      </c>
      <c r="M3" s="172" t="s">
        <v>196</v>
      </c>
      <c r="N3" s="173"/>
      <c r="O3" s="174"/>
      <c r="P3" s="175" t="e">
        <f>P4+P5+P9+P13+P14</f>
        <v>#REF!</v>
      </c>
      <c r="Q3" s="175" t="e">
        <f>Q4+Q5+Q9+Q13+Q14</f>
        <v>#REF!</v>
      </c>
      <c r="R3" s="175" t="e">
        <f>R4+R5+R9+R13+R14</f>
        <v>#REF!</v>
      </c>
      <c r="S3" s="176" t="e">
        <f>S4+S5+S9+S13+S14</f>
        <v>#REF!</v>
      </c>
      <c r="T3" s="175">
        <f>T5+T9+T13+T14</f>
        <v>51286.184999999998</v>
      </c>
      <c r="U3" s="193" t="e">
        <f>SUM(P3:T3)</f>
        <v>#REF!</v>
      </c>
    </row>
    <row r="4" spans="1:21" x14ac:dyDescent="0.25">
      <c r="A4" s="177"/>
      <c r="B4" s="178" t="s">
        <v>35</v>
      </c>
      <c r="C4" s="179"/>
      <c r="D4" s="210" t="e">
        <f>#REF!+NPV(#REF!,#REF!)</f>
        <v>#REF!</v>
      </c>
      <c r="E4" s="210" t="e">
        <f>#REF!+NPV(#REF!,#REF!)</f>
        <v>#REF!</v>
      </c>
      <c r="F4" s="210" t="e">
        <f>#REF!+NPV(#REF!,#REF!)</f>
        <v>#REF!</v>
      </c>
      <c r="G4" s="211" t="e">
        <f>#REF!+NPV(#REF!,#REF!)</f>
        <v>#REF!</v>
      </c>
      <c r="H4" s="235" t="s">
        <v>126</v>
      </c>
      <c r="I4" s="212" t="e">
        <f>SUM(D4:H4)</f>
        <v>#REF!</v>
      </c>
      <c r="M4" s="177"/>
      <c r="N4" s="178" t="s">
        <v>35</v>
      </c>
      <c r="O4" s="179"/>
      <c r="P4" s="210" t="e">
        <f>SUM(#REF!)</f>
        <v>#REF!</v>
      </c>
      <c r="Q4" s="210" t="e">
        <f>SUM(#REF!)</f>
        <v>#REF!</v>
      </c>
      <c r="R4" s="210" t="e">
        <f>SUM(#REF!)</f>
        <v>#REF!</v>
      </c>
      <c r="S4" s="211" t="e">
        <f>SUM(#REF!)</f>
        <v>#REF!</v>
      </c>
      <c r="T4" s="235" t="s">
        <v>126</v>
      </c>
      <c r="U4" s="212" t="e">
        <f>SUM(P4:T4)</f>
        <v>#REF!</v>
      </c>
    </row>
    <row r="5" spans="1:21" x14ac:dyDescent="0.25">
      <c r="A5" s="177"/>
      <c r="B5" s="178" t="s">
        <v>124</v>
      </c>
      <c r="C5" s="179"/>
      <c r="D5" s="210" t="e">
        <f>SUM(D6:D8)</f>
        <v>#REF!</v>
      </c>
      <c r="E5" s="210" t="e">
        <f>SUM(E6:E8)</f>
        <v>#REF!</v>
      </c>
      <c r="F5" s="210" t="e">
        <f>SUM(F6:F8)</f>
        <v>#REF!</v>
      </c>
      <c r="G5" s="211" t="e">
        <f>SUM(G6:G8)</f>
        <v>#REF!</v>
      </c>
      <c r="H5" s="210" t="e">
        <f>SUM(H6:H8)</f>
        <v>#REF!</v>
      </c>
      <c r="I5" s="212" t="e">
        <f>SUM(D5:H5)</f>
        <v>#REF!</v>
      </c>
      <c r="M5" s="177"/>
      <c r="N5" s="178" t="s">
        <v>124</v>
      </c>
      <c r="O5" s="179"/>
      <c r="P5" s="210">
        <f>SUM(P6:P8)</f>
        <v>13615.949446153847</v>
      </c>
      <c r="Q5" s="210">
        <f>SUM(Q6:Q8)</f>
        <v>339511.62646153843</v>
      </c>
      <c r="R5" s="210">
        <f>SUM(R6:R8)</f>
        <v>91520.372676923085</v>
      </c>
      <c r="S5" s="211">
        <f>SUM(S6:S8)</f>
        <v>23859.553846153849</v>
      </c>
      <c r="T5" s="210">
        <f>SUM(T6+T7)</f>
        <v>0</v>
      </c>
      <c r="U5" s="212">
        <f>SUM(P5:T5)</f>
        <v>468507.50243076921</v>
      </c>
    </row>
    <row r="6" spans="1:21" x14ac:dyDescent="0.25">
      <c r="A6" s="180"/>
      <c r="B6" s="181"/>
      <c r="C6" s="182" t="s">
        <v>71</v>
      </c>
      <c r="D6" s="213" t="e">
        <f>('TCO TO BE- SW'!F26+NPV(#REF!,'TCO TO BE- SW'!F27:F35)+'TCO TO BE- SW'!F36+NPV(#REF!,'TCO TO BE- SW'!F37:F45)+'TCO TO BE- SW'!F46+NPV(#REF!,'TCO TO BE- SW'!F47:F55))</f>
        <v>#REF!</v>
      </c>
      <c r="E6" s="213" t="e">
        <f>('TCO TO BE- SW'!G26+NPV(#REF!,'TCO TO BE- SW'!G27:G35)+'TCO TO BE- SW'!G36+NPV(#REF!,'TCO TO BE- SW'!G37:G45)+'TCO TO BE- SW'!G46+NPV(#REF!,'TCO TO BE- SW'!G47:G55))</f>
        <v>#REF!</v>
      </c>
      <c r="F6" s="213" t="e">
        <f>('TCO TO BE- SW'!H26+NPV(#REF!,'TCO TO BE- SW'!H27:H35)+'TCO TO BE- SW'!H36+NPV(#REF!,'TCO TO BE- SW'!H37:H45)+'TCO TO BE- SW'!H46+NPV(#REF!,'TCO TO BE- SW'!H47:H55))</f>
        <v>#REF!</v>
      </c>
      <c r="G6" s="213" t="e">
        <f>('TCO TO BE- SW'!I26+NPV(#REF!,'TCO TO BE- SW'!I27:I35)+'TCO TO BE- SW'!I36+NPV(#REF!,'TCO TO BE- SW'!I37:I45)+'TCO TO BE- SW'!I46+NPV(#REF!,'TCO TO BE- SW'!I47:I55))</f>
        <v>#REF!</v>
      </c>
      <c r="H6" s="213" t="e">
        <f>('TCO TO BE- SW'!J26+NPV(#REF!,'TCO TO BE- SW'!J27:J35)+'TCO TO BE- SW'!J36+NPV(#REF!,'TCO TO BE- SW'!J37:J45)+'TCO TO BE- SW'!J46+NPV(#REF!,'TCO TO BE- SW'!J47:J55))</f>
        <v>#REF!</v>
      </c>
      <c r="I6" s="215" t="e">
        <f>SUM(D6:H6)</f>
        <v>#REF!</v>
      </c>
      <c r="M6" s="180"/>
      <c r="N6" s="181"/>
      <c r="O6" s="182" t="s">
        <v>71</v>
      </c>
      <c r="P6" s="213">
        <f>'TCO TO BE- SW'!F25</f>
        <v>8885.293846153847</v>
      </c>
      <c r="Q6" s="213">
        <f>'TCO TO BE- SW'!G25</f>
        <v>339511.62646153843</v>
      </c>
      <c r="R6" s="213">
        <f>'TCO TO BE- SW'!H25</f>
        <v>91520.372676923085</v>
      </c>
      <c r="S6" s="213">
        <f>'TCO TO BE- SW'!I25</f>
        <v>23859.553846153849</v>
      </c>
      <c r="T6" s="213">
        <f>'TCO TO BE- SW'!J25</f>
        <v>0</v>
      </c>
      <c r="U6" s="215">
        <f>SUM(P6:T6)</f>
        <v>463776.84683076915</v>
      </c>
    </row>
    <row r="7" spans="1:21" x14ac:dyDescent="0.25">
      <c r="A7" s="180"/>
      <c r="B7" s="181"/>
      <c r="C7" s="182" t="s">
        <v>34</v>
      </c>
      <c r="D7" s="213" t="e">
        <f>('TCO TO BE- SW'!F5+NPV(#REF!,'TCO TO BE- SW'!F6:F14)+'TCO TO BE- SW'!F15+NPV(#REF!,'TCO TO BE- SW'!F16:F24))</f>
        <v>#REF!</v>
      </c>
      <c r="E7" s="213" t="e">
        <f>('TCO TO BE- SW'!G5+NPV(#REF!,'TCO TO BE- SW'!G6:G14)+'TCO TO BE- SW'!G15+NPV(#REF!,'TCO TO BE- SW'!G16:G24))</f>
        <v>#REF!</v>
      </c>
      <c r="F7" s="213" t="e">
        <f>('TCO TO BE- SW'!H5+NPV(#REF!,'TCO TO BE- SW'!H6:H14)+'TCO TO BE- SW'!H15+NPV(#REF!,'TCO TO BE- SW'!H16:H24))</f>
        <v>#REF!</v>
      </c>
      <c r="G7" s="213" t="e">
        <f>('TCO TO BE- SW'!I5+NPV(#REF!,'TCO TO BE- SW'!I6:I14)+'TCO TO BE- SW'!I15+NPV(#REF!,'TCO TO BE- SW'!I16:I24))</f>
        <v>#REF!</v>
      </c>
      <c r="H7" s="213" t="e">
        <f>('TCO TO BE- SW'!J5+NPV(#REF!,'TCO TO BE- SW'!J6:J14)+'TCO TO BE- SW'!J15+NPV(#REF!,'TCO TO BE- SW'!J16:J24))</f>
        <v>#REF!</v>
      </c>
      <c r="I7" s="215" t="e">
        <f>SUM(D7:H7)</f>
        <v>#REF!</v>
      </c>
      <c r="M7" s="180"/>
      <c r="N7" s="181"/>
      <c r="O7" s="182" t="s">
        <v>34</v>
      </c>
      <c r="P7" s="213">
        <f>'TCO TO BE- SW'!F4</f>
        <v>0</v>
      </c>
      <c r="Q7" s="213">
        <f>'TCO TO BE- SW'!G4</f>
        <v>0</v>
      </c>
      <c r="R7" s="213">
        <f>'TCO TO BE- SW'!H4</f>
        <v>0</v>
      </c>
      <c r="S7" s="213">
        <f>'TCO TO BE- SW'!I4</f>
        <v>0</v>
      </c>
      <c r="T7" s="213">
        <f>'TCO TO BE- SW'!J4</f>
        <v>0</v>
      </c>
      <c r="U7" s="215">
        <f>SUM(P7:T7)</f>
        <v>0</v>
      </c>
    </row>
    <row r="8" spans="1:21" x14ac:dyDescent="0.25">
      <c r="A8" s="180"/>
      <c r="B8" s="181"/>
      <c r="C8" s="182" t="s">
        <v>33</v>
      </c>
      <c r="D8" s="213" t="e">
        <f>('TCO TO BE - HW'!F4+NPV(#REF!,'TCO TO BE - HW'!F5:F13)+'TCO TO BE - HW'!F14+NPV(#REF!,'TCO TO BE - HW'!F15:F23)+'TCO TO BE - HW'!F24+NPV(#REF!,'TCO TO BE - HW'!F25:F33))</f>
        <v>#REF!</v>
      </c>
      <c r="E8" s="213" t="e">
        <f>('TCO TO BE - HW'!G4+NPV(#REF!,'TCO TO BE - HW'!G5:G13)+'TCO TO BE - HW'!G14+NPV(#REF!,'TCO TO BE - HW'!G15:G23)+'TCO TO BE - HW'!G24+NPV(#REF!,'TCO TO BE - HW'!G25:G33))</f>
        <v>#REF!</v>
      </c>
      <c r="F8" s="213" t="e">
        <f>('TCO TO BE - HW'!H4+NPV(#REF!,'TCO TO BE - HW'!H5:H13)+'TCO TO BE - HW'!H14+NPV(#REF!,'TCO TO BE - HW'!H15:H23)+'TCO TO BE - HW'!H24+NPV(#REF!,'TCO TO BE - HW'!H25:H33))</f>
        <v>#REF!</v>
      </c>
      <c r="G8" s="213" t="e">
        <f>('TCO TO BE - HW'!I4+NPV(#REF!,'TCO TO BE - HW'!I5:I13)+'TCO TO BE - HW'!I14+NPV(#REF!,'TCO TO BE - HW'!I15:I23)+'TCO TO BE - HW'!I24+NPV(#REF!,'TCO TO BE - HW'!I25:I33))</f>
        <v>#REF!</v>
      </c>
      <c r="H8" s="216" t="s">
        <v>126</v>
      </c>
      <c r="I8" s="215" t="e">
        <f t="shared" ref="I8:I17" si="0">SUM(D8:G8)</f>
        <v>#REF!</v>
      </c>
      <c r="M8" s="180"/>
      <c r="N8" s="181"/>
      <c r="O8" s="182" t="s">
        <v>33</v>
      </c>
      <c r="P8" s="213">
        <f>'TCO TO BE - HW'!F3</f>
        <v>4730.6556</v>
      </c>
      <c r="Q8" s="213">
        <f>'TCO TO BE - HW'!G3</f>
        <v>0</v>
      </c>
      <c r="R8" s="213">
        <f>'TCO TO BE - HW'!H3</f>
        <v>0</v>
      </c>
      <c r="S8" s="213">
        <f>'TCO TO BE - HW'!I3</f>
        <v>0</v>
      </c>
      <c r="T8" s="216" t="s">
        <v>126</v>
      </c>
      <c r="U8" s="215">
        <f t="shared" ref="U8:U23" si="1">SUM(P8:S8)</f>
        <v>4730.6556</v>
      </c>
    </row>
    <row r="9" spans="1:21" x14ac:dyDescent="0.25">
      <c r="A9" s="177"/>
      <c r="B9" s="178" t="s">
        <v>125</v>
      </c>
      <c r="C9" s="179"/>
      <c r="D9" s="210" t="e">
        <f>SUM(D10:D12)</f>
        <v>#REF!</v>
      </c>
      <c r="E9" s="210" t="e">
        <f>SUM(E10:E12)</f>
        <v>#REF!</v>
      </c>
      <c r="F9" s="210" t="e">
        <f>SUM(F10:F12)</f>
        <v>#REF!</v>
      </c>
      <c r="G9" s="211" t="e">
        <f>SUM(G10:G12)</f>
        <v>#REF!</v>
      </c>
      <c r="H9" s="210" t="e">
        <f>SUM(H10:H12)</f>
        <v>#REF!</v>
      </c>
      <c r="I9" s="212" t="e">
        <f>SUM(D9:H9)</f>
        <v>#REF!</v>
      </c>
      <c r="M9" s="177"/>
      <c r="N9" s="178" t="s">
        <v>125</v>
      </c>
      <c r="O9" s="179"/>
      <c r="P9" s="210">
        <f>SUM(P10:P12)</f>
        <v>38426.384861446146</v>
      </c>
      <c r="Q9" s="210">
        <f>SUM(Q10:Q12)</f>
        <v>95233.011222461544</v>
      </c>
      <c r="R9" s="210">
        <f>SUM(R10:R12)</f>
        <v>25671.464535876934</v>
      </c>
      <c r="S9" s="211">
        <f>SUM(S10:S12)</f>
        <v>6692.6048538461555</v>
      </c>
      <c r="T9" s="210">
        <f>SUM(T10+T11)</f>
        <v>28560</v>
      </c>
      <c r="U9" s="212">
        <f>SUM(P9:T9)</f>
        <v>194583.46547363079</v>
      </c>
    </row>
    <row r="10" spans="1:21" x14ac:dyDescent="0.25">
      <c r="A10" s="180"/>
      <c r="B10" s="181"/>
      <c r="C10" s="182" t="s">
        <v>71</v>
      </c>
      <c r="D10" s="213" t="e">
        <f>('TCO TO BE- SW'!F79+NPV(#REF!,'TCO TO BE- SW'!F80:F88)+'TCO TO BE- SW'!F89+NPV(#REF!,'TCO TO BE- SW'!F90:F98)+'TCO TO BE- SW'!F99+NPV(#REF!,'TCO TO BE- SW'!F100:F108)+'TCO TO BE- SW'!F109+NPV(#REF!,'TCO TO BE- SW'!F110:F118)+'TCO TO BE- SW'!F119+NPV(#REF!,'TCO TO BE- SW'!F120:F128))</f>
        <v>#REF!</v>
      </c>
      <c r="E10" s="213" t="e">
        <f>('TCO TO BE- SW'!G79+NPV(#REF!,'TCO TO BE- SW'!G80:G88)+'TCO TO BE- SW'!G89+NPV(#REF!,'TCO TO BE- SW'!G90:G98)+'TCO TO BE- SW'!G99+NPV(#REF!,'TCO TO BE- SW'!G100:G108)+'TCO TO BE- SW'!G109+NPV(#REF!,'TCO TO BE- SW'!G110:G118)+'TCO TO BE- SW'!G119+NPV(#REF!,'TCO TO BE- SW'!G120:G128))</f>
        <v>#REF!</v>
      </c>
      <c r="F10" s="213" t="e">
        <f>('TCO TO BE- SW'!H79+NPV(#REF!,'TCO TO BE- SW'!H80:H88)+'TCO TO BE- SW'!H89+NPV(#REF!,'TCO TO BE- SW'!H90:H98)+'TCO TO BE- SW'!H99+NPV(#REF!,'TCO TO BE- SW'!H100:H108)+'TCO TO BE- SW'!H109+NPV(#REF!,'TCO TO BE- SW'!H110:H118)+'TCO TO BE- SW'!H119+NPV(#REF!,'TCO TO BE- SW'!H120:H128))</f>
        <v>#REF!</v>
      </c>
      <c r="G10" s="213" t="e">
        <f>('TCO TO BE- SW'!I79+NPV(#REF!,'TCO TO BE- SW'!I80:I88)+'TCO TO BE- SW'!I89+NPV(#REF!,'TCO TO BE- SW'!I90:I98)+'TCO TO BE- SW'!I99+NPV(#REF!,'TCO TO BE- SW'!I100:I108)+'TCO TO BE- SW'!I109+NPV(#REF!,'TCO TO BE- SW'!I110:I118)+'TCO TO BE- SW'!I119+NPV(#REF!,'TCO TO BE- SW'!I120:I128))</f>
        <v>#REF!</v>
      </c>
      <c r="H10" s="213" t="e">
        <f>('TCO TO BE- SW'!J79+NPV(#REF!,'TCO TO BE- SW'!J80:J88)+'TCO TO BE- SW'!J89+NPV(#REF!,'TCO TO BE- SW'!J90:J98)+'TCO TO BE- SW'!J99+NPV(#REF!,'TCO TO BE- SW'!J100:J108)+'TCO TO BE- SW'!J109+NPV(#REF!,'TCO TO BE- SW'!J110:J118)+'TCO TO BE- SW'!J119+NPV(#REF!,'TCO TO BE- SW'!J120:J128))</f>
        <v>#REF!</v>
      </c>
      <c r="I10" s="215" t="e">
        <f>SUM(D10:H10)</f>
        <v>#REF!</v>
      </c>
      <c r="M10" s="180"/>
      <c r="N10" s="181"/>
      <c r="O10" s="182" t="s">
        <v>71</v>
      </c>
      <c r="P10" s="213">
        <f>'TCO TO BE- SW'!F78</f>
        <v>2492.3249238461535</v>
      </c>
      <c r="Q10" s="213">
        <f>'TCO TO BE- SW'!G78</f>
        <v>95233.011222461544</v>
      </c>
      <c r="R10" s="213">
        <f>'TCO TO BE- SW'!H78</f>
        <v>25671.464535876934</v>
      </c>
      <c r="S10" s="213">
        <f>'TCO TO BE- SW'!I78</f>
        <v>6692.6048538461555</v>
      </c>
      <c r="T10" s="213">
        <f>'TCO TO BE- SW'!J78</f>
        <v>28560</v>
      </c>
      <c r="U10" s="215">
        <f>SUM(P10:T10)</f>
        <v>158649.4055360308</v>
      </c>
    </row>
    <row r="11" spans="1:21" x14ac:dyDescent="0.25">
      <c r="A11" s="180"/>
      <c r="B11" s="181"/>
      <c r="C11" s="182" t="s">
        <v>34</v>
      </c>
      <c r="D11" s="213" t="e">
        <f>('TCO TO BE- SW'!F58+NPV(#REF!,'TCO TO BE- SW'!F59:F67)+'TCO TO BE- SW'!F68+NPV(#REF!,'TCO TO BE- SW'!F69:F77))</f>
        <v>#REF!</v>
      </c>
      <c r="E11" s="213" t="e">
        <f>('TCO TO BE- SW'!G58+NPV(#REF!,'TCO TO BE- SW'!G59:G67)+'TCO TO BE- SW'!G68+NPV(#REF!,'TCO TO BE- SW'!G69:G77))</f>
        <v>#REF!</v>
      </c>
      <c r="F11" s="213" t="e">
        <f>('TCO TO BE- SW'!H58+NPV(#REF!,'TCO TO BE- SW'!H59:H67)+'TCO TO BE- SW'!H68+NPV(#REF!,'TCO TO BE- SW'!H69:H77))</f>
        <v>#REF!</v>
      </c>
      <c r="G11" s="213" t="e">
        <f>('TCO TO BE- SW'!I58+NPV(#REF!,'TCO TO BE- SW'!I59:I67)+'TCO TO BE- SW'!I68+NPV(#REF!,'TCO TO BE- SW'!I69:I77))</f>
        <v>#REF!</v>
      </c>
      <c r="H11" s="213" t="e">
        <f>('TCO TO BE- SW'!J58+NPV(#REF!,'TCO TO BE- SW'!J59:J67)+'TCO TO BE- SW'!J68+NPV(#REF!,'TCO TO BE- SW'!J69:J77))</f>
        <v>#REF!</v>
      </c>
      <c r="I11" s="215" t="e">
        <f>SUM(D11:H11)</f>
        <v>#REF!</v>
      </c>
      <c r="M11" s="180"/>
      <c r="N11" s="181"/>
      <c r="O11" s="182" t="s">
        <v>34</v>
      </c>
      <c r="P11" s="213">
        <f>'TCO TO BE- SW'!F57</f>
        <v>0</v>
      </c>
      <c r="Q11" s="213">
        <f>'TCO TO BE- SW'!G57</f>
        <v>0</v>
      </c>
      <c r="R11" s="213">
        <f>'TCO TO BE- SW'!H57</f>
        <v>0</v>
      </c>
      <c r="S11" s="213">
        <f>'TCO TO BE- SW'!I57</f>
        <v>0</v>
      </c>
      <c r="T11" s="213">
        <f>'TCO TO BE- SW'!J57</f>
        <v>0</v>
      </c>
      <c r="U11" s="215">
        <f>SUM(P11:T11)</f>
        <v>0</v>
      </c>
    </row>
    <row r="12" spans="1:21" x14ac:dyDescent="0.25">
      <c r="A12" s="180"/>
      <c r="B12" s="181"/>
      <c r="C12" s="182" t="s">
        <v>33</v>
      </c>
      <c r="D12" s="213" t="e">
        <f>('TCO TO BE - HW'!F35+NPV(#REF!,'TCO TO BE - HW'!F36:F44)+'TCO TO BE - HW'!F45+NPV(#REF!,'TCO TO BE - HW'!F46:F54)+'TCO TO BE - HW'!F55+NPV(#REF!,'TCO TO BE - HW'!F56:F64)+'TCO TO BE - HW'!F65+NPV(#REF!,'TCO TO BE - HW'!F66:F74)+'TCO TO BE - HW'!F75+NPV(#REF!,'TCO TO BE - HW'!F76:F84))</f>
        <v>#REF!</v>
      </c>
      <c r="E12" s="213" t="e">
        <f>('TCO TO BE - HW'!G35+NPV(#REF!,'TCO TO BE - HW'!G36:G44)+'TCO TO BE - HW'!G45+NPV(#REF!,'TCO TO BE - HW'!G46:G54)+'TCO TO BE - HW'!G55+NPV(#REF!,'TCO TO BE - HW'!G56:G64)+'TCO TO BE - HW'!G65+NPV(#REF!,'TCO TO BE - HW'!G66:G74)+'TCO TO BE - HW'!G75+NPV(#REF!,'TCO TO BE - HW'!G76:G84))</f>
        <v>#REF!</v>
      </c>
      <c r="F12" s="213" t="e">
        <f>('TCO TO BE - HW'!H35+NPV(#REF!,'TCO TO BE - HW'!H36:H44)+'TCO TO BE - HW'!H45+NPV(#REF!,'TCO TO BE - HW'!H46:H54)+'TCO TO BE - HW'!H55+NPV(#REF!,'TCO TO BE - HW'!H56:H64)+'TCO TO BE - HW'!H65+NPV(#REF!,'TCO TO BE - HW'!H66:H74)+'TCO TO BE - HW'!H75+NPV(#REF!,'TCO TO BE - HW'!H76:H84))</f>
        <v>#REF!</v>
      </c>
      <c r="G12" s="213" t="e">
        <f>('TCO TO BE - HW'!I35+NPV(#REF!,'TCO TO BE - HW'!I36:I44)+'TCO TO BE - HW'!I45+NPV(#REF!,'TCO TO BE - HW'!I46:I54)+'TCO TO BE - HW'!I55+NPV(#REF!,'TCO TO BE - HW'!I56:I64)+'TCO TO BE - HW'!I65+NPV(#REF!,'TCO TO BE - HW'!I66:I74)+'TCO TO BE - HW'!I75+NPV(#REF!,'TCO TO BE - HW'!I76:I84))</f>
        <v>#REF!</v>
      </c>
      <c r="H12" s="216" t="s">
        <v>126</v>
      </c>
      <c r="I12" s="215" t="e">
        <f t="shared" si="0"/>
        <v>#REF!</v>
      </c>
      <c r="M12" s="180"/>
      <c r="N12" s="181"/>
      <c r="O12" s="182" t="s">
        <v>33</v>
      </c>
      <c r="P12" s="213">
        <f>'TCO TO BE - HW'!F34</f>
        <v>35934.059937599995</v>
      </c>
      <c r="Q12" s="213">
        <f>'TCO TO BE - HW'!G34</f>
        <v>0</v>
      </c>
      <c r="R12" s="213">
        <f>'TCO TO BE - HW'!H34</f>
        <v>0</v>
      </c>
      <c r="S12" s="213">
        <f>'TCO TO BE - HW'!I34</f>
        <v>0</v>
      </c>
      <c r="T12" s="216" t="s">
        <v>126</v>
      </c>
      <c r="U12" s="215">
        <f t="shared" si="1"/>
        <v>35934.059937599995</v>
      </c>
    </row>
    <row r="13" spans="1:21" x14ac:dyDescent="0.25">
      <c r="A13" s="180"/>
      <c r="B13" s="178" t="s">
        <v>177</v>
      </c>
      <c r="C13" s="179"/>
      <c r="D13" s="238">
        <f>'TCO TO BE- SW'!F130+NPV(0.05,'TCO TO BE- SW'!F131:F139)+'TCO TO BE- SW'!F140+NPV(0.05,'TCO TO BE- SW'!F141:F149)</f>
        <v>0</v>
      </c>
      <c r="E13" s="238">
        <f>'TCO TO BE- SW'!G130+NPV(0.05,'TCO TO BE- SW'!G131:G139)+'TCO TO BE- SW'!G140+NPV(0.05,'TCO TO BE- SW'!G141:G149)</f>
        <v>0</v>
      </c>
      <c r="F13" s="238">
        <f>'TCO TO BE- SW'!H130+NPV(0.05,'TCO TO BE- SW'!H131:H139)+'TCO TO BE- SW'!H140+NPV(0.05,'TCO TO BE- SW'!H141:H149)</f>
        <v>0</v>
      </c>
      <c r="G13" s="239">
        <f>'TCO TO BE- SW'!I130+NPV(0.05,'TCO TO BE- SW'!I131:I139)+'TCO TO BE- SW'!I140+NPV(0.05,'TCO TO BE- SW'!I141:I149)</f>
        <v>0</v>
      </c>
      <c r="H13" s="238">
        <f>'TCO TO BE- SW'!J130+NPV(0.05,'TCO TO BE- SW'!J131:J139)+'TCO TO BE- SW'!J140+NPV(0.05,'TCO TO BE- SW'!J141:J149)</f>
        <v>22726.185000000001</v>
      </c>
      <c r="I13" s="212">
        <f>SUM(D13:H13)</f>
        <v>22726.185000000001</v>
      </c>
      <c r="M13" s="180"/>
      <c r="N13" s="178" t="s">
        <v>177</v>
      </c>
      <c r="O13" s="179"/>
      <c r="P13" s="238">
        <f>'TCO TO BE- SW'!F129</f>
        <v>0</v>
      </c>
      <c r="Q13" s="238">
        <f>'TCO TO BE- SW'!G129</f>
        <v>0</v>
      </c>
      <c r="R13" s="238">
        <f>'TCO TO BE- SW'!H129</f>
        <v>0</v>
      </c>
      <c r="S13" s="239">
        <f>'TCO TO BE- SW'!I129</f>
        <v>0</v>
      </c>
      <c r="T13" s="238">
        <f>'TCO TO BE- SW'!J129</f>
        <v>22726.185000000001</v>
      </c>
      <c r="U13" s="212">
        <f>SUM(P13:T13)</f>
        <v>22726.185000000001</v>
      </c>
    </row>
    <row r="14" spans="1:21" x14ac:dyDescent="0.25">
      <c r="A14" s="180"/>
      <c r="B14" s="178" t="s">
        <v>190</v>
      </c>
      <c r="C14" s="179"/>
      <c r="D14" s="238">
        <f>'TCO TO BE- SW'!F151+NPV(0.05,'TCO TO BE- SW'!F152:F160)+'TCO TO BE- SW'!F161+NPV(0.05,'TCO TO BE- SW'!F162:F170)</f>
        <v>0</v>
      </c>
      <c r="E14" s="238">
        <f>'TCO TO BE- SW'!G151+NPV(0.05,'TCO TO BE- SW'!G152:G160)+'TCO TO BE- SW'!G161+NPV(0.05,'TCO TO BE- SW'!G162:G170)</f>
        <v>0</v>
      </c>
      <c r="F14" s="238">
        <f>'TCO TO BE- SW'!H151+NPV(0.05,'TCO TO BE- SW'!H152:H160)+'TCO TO BE- SW'!H161+NPV(0.05,'TCO TO BE- SW'!H162:H170)</f>
        <v>0</v>
      </c>
      <c r="G14" s="239">
        <f>'TCO TO BE- SW'!I151+NPV(0.05,'TCO TO BE- SW'!I152:I160)+'TCO TO BE- SW'!I161+NPV(0.05,'TCO TO BE- SW'!I162:I170)</f>
        <v>0</v>
      </c>
      <c r="H14" s="238">
        <f>'TCO TO BE- SW'!J151+NPV(0.05,'TCO TO BE- SW'!J152:J160)+'TCO TO BE- SW'!J161+NPV(0.05,'TCO TO BE- SW'!J162:J170)</f>
        <v>0</v>
      </c>
      <c r="I14" s="212">
        <f>SUM(D14:H14)</f>
        <v>0</v>
      </c>
      <c r="M14" s="180"/>
      <c r="N14" s="178" t="s">
        <v>190</v>
      </c>
      <c r="O14" s="179"/>
      <c r="P14" s="238">
        <f>'TCO TO BE- SW'!F150</f>
        <v>0</v>
      </c>
      <c r="Q14" s="238">
        <f>'TCO TO BE- SW'!G150</f>
        <v>0</v>
      </c>
      <c r="R14" s="238">
        <f>'TCO TO BE- SW'!H150</f>
        <v>0</v>
      </c>
      <c r="S14" s="239">
        <f>'TCO TO BE- SW'!I150</f>
        <v>0</v>
      </c>
      <c r="T14" s="238">
        <f>'TCO TO BE- SW'!J150</f>
        <v>0</v>
      </c>
      <c r="U14" s="212">
        <f>SUM(P14:T14)</f>
        <v>0</v>
      </c>
    </row>
    <row r="15" spans="1:21" x14ac:dyDescent="0.25">
      <c r="A15" s="172" t="s">
        <v>120</v>
      </c>
      <c r="B15" s="173"/>
      <c r="C15" s="174"/>
      <c r="D15" s="207" t="e">
        <f>D16+D19</f>
        <v>#REF!</v>
      </c>
      <c r="E15" s="207" t="e">
        <f>E16+E19</f>
        <v>#REF!</v>
      </c>
      <c r="F15" s="207" t="e">
        <f>F16+F19</f>
        <v>#REF!</v>
      </c>
      <c r="G15" s="208" t="e">
        <f>G16+G19</f>
        <v>#REF!</v>
      </c>
      <c r="H15" s="237" t="s">
        <v>126</v>
      </c>
      <c r="I15" s="209" t="e">
        <f t="shared" si="0"/>
        <v>#REF!</v>
      </c>
      <c r="M15" s="172" t="s">
        <v>120</v>
      </c>
      <c r="N15" s="173"/>
      <c r="O15" s="174"/>
      <c r="P15" s="175" t="e">
        <f>P16+P19</f>
        <v>#REF!</v>
      </c>
      <c r="Q15" s="175" t="e">
        <f>Q16+Q19</f>
        <v>#REF!</v>
      </c>
      <c r="R15" s="175" t="e">
        <f>R16+R19</f>
        <v>#REF!</v>
      </c>
      <c r="S15" s="176" t="e">
        <f>S16+S19</f>
        <v>#REF!</v>
      </c>
      <c r="T15" s="237" t="s">
        <v>126</v>
      </c>
      <c r="U15" s="193" t="e">
        <f t="shared" si="1"/>
        <v>#REF!</v>
      </c>
    </row>
    <row r="16" spans="1:21" x14ac:dyDescent="0.25">
      <c r="A16" s="177"/>
      <c r="B16" s="178" t="s">
        <v>1</v>
      </c>
      <c r="C16" s="179"/>
      <c r="D16" s="210" t="e">
        <f>D17+D18</f>
        <v>#REF!</v>
      </c>
      <c r="E16" s="210" t="e">
        <f>E17+E18</f>
        <v>#REF!</v>
      </c>
      <c r="F16" s="210" t="e">
        <f>F17+F18</f>
        <v>#REF!</v>
      </c>
      <c r="G16" s="211" t="e">
        <f>G17+G18</f>
        <v>#REF!</v>
      </c>
      <c r="H16" s="235" t="s">
        <v>126</v>
      </c>
      <c r="I16" s="212" t="e">
        <f t="shared" si="0"/>
        <v>#REF!</v>
      </c>
      <c r="M16" s="177"/>
      <c r="N16" s="178" t="s">
        <v>1</v>
      </c>
      <c r="O16" s="179"/>
      <c r="P16" s="210" t="e">
        <f>P17+P18</f>
        <v>#REF!</v>
      </c>
      <c r="Q16" s="210" t="e">
        <f>Q17+Q18</f>
        <v>#REF!</v>
      </c>
      <c r="R16" s="210" t="e">
        <f>R17+R18</f>
        <v>#REF!</v>
      </c>
      <c r="S16" s="211" t="e">
        <f>S17+S18</f>
        <v>#REF!</v>
      </c>
      <c r="T16" s="235" t="s">
        <v>126</v>
      </c>
      <c r="U16" s="212" t="e">
        <f t="shared" si="1"/>
        <v>#REF!</v>
      </c>
    </row>
    <row r="17" spans="1:22" x14ac:dyDescent="0.25">
      <c r="A17" s="180"/>
      <c r="B17" s="181"/>
      <c r="C17" s="182" t="s">
        <v>16</v>
      </c>
      <c r="D17" s="213" t="e">
        <f>#REF!+NPV(#REF!,#REF!)</f>
        <v>#REF!</v>
      </c>
      <c r="E17" s="213" t="e">
        <f>#REF!+NPV(#REF!,#REF!)</f>
        <v>#REF!</v>
      </c>
      <c r="F17" s="213" t="e">
        <f>#REF!+NPV(#REF!,#REF!)</f>
        <v>#REF!</v>
      </c>
      <c r="G17" s="214" t="e">
        <f>#REF!+NPV(#REF!,#REF!)</f>
        <v>#REF!</v>
      </c>
      <c r="H17" s="216" t="s">
        <v>126</v>
      </c>
      <c r="I17" s="215" t="e">
        <f t="shared" si="0"/>
        <v>#REF!</v>
      </c>
      <c r="M17" s="180"/>
      <c r="N17" s="181"/>
      <c r="O17" s="182" t="s">
        <v>16</v>
      </c>
      <c r="P17" s="213" t="e">
        <f>SUM(#REF!)</f>
        <v>#REF!</v>
      </c>
      <c r="Q17" s="213" t="e">
        <f>SUM(#REF!)</f>
        <v>#REF!</v>
      </c>
      <c r="R17" s="213" t="e">
        <f>SUM(#REF!)</f>
        <v>#REF!</v>
      </c>
      <c r="S17" s="214" t="e">
        <f>SUM(#REF!)</f>
        <v>#REF!</v>
      </c>
      <c r="T17" s="216" t="s">
        <v>126</v>
      </c>
      <c r="U17" s="215" t="e">
        <f t="shared" si="1"/>
        <v>#REF!</v>
      </c>
    </row>
    <row r="18" spans="1:22" x14ac:dyDescent="0.25">
      <c r="A18" s="180"/>
      <c r="B18" s="181"/>
      <c r="C18" s="182" t="s">
        <v>17</v>
      </c>
      <c r="D18" s="213"/>
      <c r="E18" s="213"/>
      <c r="F18" s="213"/>
      <c r="G18" s="214"/>
      <c r="H18" s="216" t="s">
        <v>126</v>
      </c>
      <c r="I18" s="215" t="e">
        <f>#REF!</f>
        <v>#REF!</v>
      </c>
      <c r="J18" s="194"/>
      <c r="M18" s="180"/>
      <c r="N18" s="181"/>
      <c r="O18" s="182" t="s">
        <v>17</v>
      </c>
      <c r="P18" s="213"/>
      <c r="Q18" s="213"/>
      <c r="R18" s="213"/>
      <c r="S18" s="214"/>
      <c r="T18" s="216" t="s">
        <v>126</v>
      </c>
      <c r="U18" s="215" t="e">
        <f>#REF!</f>
        <v>#REF!</v>
      </c>
      <c r="V18" s="194"/>
    </row>
    <row r="19" spans="1:22" x14ac:dyDescent="0.25">
      <c r="A19" s="177"/>
      <c r="B19" s="178" t="s">
        <v>2</v>
      </c>
      <c r="C19" s="179"/>
      <c r="D19" s="210" t="e">
        <f>D20+D21+D23</f>
        <v>#REF!</v>
      </c>
      <c r="E19" s="210" t="e">
        <f>E20+E21+E23</f>
        <v>#REF!</v>
      </c>
      <c r="F19" s="210" t="e">
        <f>F20+F21+F23</f>
        <v>#REF!</v>
      </c>
      <c r="G19" s="211" t="e">
        <f>G20+G21+G23</f>
        <v>#REF!</v>
      </c>
      <c r="H19" s="235" t="s">
        <v>126</v>
      </c>
      <c r="I19" s="212" t="e">
        <f>SUM(D19:G19)</f>
        <v>#REF!</v>
      </c>
      <c r="M19" s="177"/>
      <c r="N19" s="178" t="s">
        <v>2</v>
      </c>
      <c r="O19" s="179"/>
      <c r="P19" s="210" t="e">
        <f>P20+P21+P23</f>
        <v>#REF!</v>
      </c>
      <c r="Q19" s="210" t="e">
        <f>Q20+Q21+Q23</f>
        <v>#REF!</v>
      </c>
      <c r="R19" s="210" t="e">
        <f>R20+R21+R23</f>
        <v>#REF!</v>
      </c>
      <c r="S19" s="211" t="e">
        <f>S20+S21+S23</f>
        <v>#REF!</v>
      </c>
      <c r="T19" s="235" t="s">
        <v>126</v>
      </c>
      <c r="U19" s="212" t="e">
        <f t="shared" si="1"/>
        <v>#REF!</v>
      </c>
    </row>
    <row r="20" spans="1:22" x14ac:dyDescent="0.25">
      <c r="A20" s="180"/>
      <c r="B20" s="181"/>
      <c r="C20" s="182" t="s">
        <v>122</v>
      </c>
      <c r="D20" s="213" t="e">
        <f>#REF!+NPV(#REF!,#REF!)</f>
        <v>#REF!</v>
      </c>
      <c r="E20" s="213" t="e">
        <f>#REF!+NPV(#REF!,#REF!)</f>
        <v>#REF!</v>
      </c>
      <c r="F20" s="213" t="e">
        <f>#REF!+NPV(#REF!,#REF!)</f>
        <v>#REF!</v>
      </c>
      <c r="G20" s="214" t="e">
        <f>#REF!+NPV(#REF!,#REF!)</f>
        <v>#REF!</v>
      </c>
      <c r="H20" s="216" t="s">
        <v>126</v>
      </c>
      <c r="I20" s="215" t="e">
        <f>SUM(D20:G20)</f>
        <v>#REF!</v>
      </c>
      <c r="M20" s="180"/>
      <c r="N20" s="181"/>
      <c r="O20" s="182" t="s">
        <v>122</v>
      </c>
      <c r="P20" s="213" t="e">
        <f>SUM(#REF!)</f>
        <v>#REF!</v>
      </c>
      <c r="Q20" s="213" t="e">
        <f>SUM(#REF!)</f>
        <v>#REF!</v>
      </c>
      <c r="R20" s="213" t="e">
        <f>SUM(#REF!)</f>
        <v>#REF!</v>
      </c>
      <c r="S20" s="214" t="e">
        <f>SUM(#REF!)</f>
        <v>#REF!</v>
      </c>
      <c r="T20" s="216" t="s">
        <v>126</v>
      </c>
      <c r="U20" s="215" t="e">
        <f t="shared" si="1"/>
        <v>#REF!</v>
      </c>
    </row>
    <row r="21" spans="1:22" x14ac:dyDescent="0.25">
      <c r="A21" s="180"/>
      <c r="B21" s="181"/>
      <c r="C21" s="182" t="s">
        <v>121</v>
      </c>
      <c r="D21" s="213" t="e">
        <f>-(#REF!+NPV(#REF!,#REF!))</f>
        <v>#REF!</v>
      </c>
      <c r="E21" s="213" t="e">
        <f>-(#REF!+NPV(#REF!,#REF!))</f>
        <v>#REF!</v>
      </c>
      <c r="F21" s="213" t="e">
        <f>-(#REF!+NPV(#REF!,#REF!))</f>
        <v>#REF!</v>
      </c>
      <c r="G21" s="214" t="e">
        <f>-(#REF!+NPV(#REF!,#REF!))</f>
        <v>#REF!</v>
      </c>
      <c r="H21" s="216" t="s">
        <v>126</v>
      </c>
      <c r="I21" s="215" t="e">
        <f>SUM(D21:G21)</f>
        <v>#REF!</v>
      </c>
      <c r="M21" s="180"/>
      <c r="N21" s="181"/>
      <c r="O21" s="182" t="s">
        <v>121</v>
      </c>
      <c r="P21" s="213" t="e">
        <f>-(SUM(#REF!))</f>
        <v>#REF!</v>
      </c>
      <c r="Q21" s="213" t="e">
        <f>-(SUM(#REF!))</f>
        <v>#REF!</v>
      </c>
      <c r="R21" s="213" t="e">
        <f>-(SUM(#REF!))</f>
        <v>#REF!</v>
      </c>
      <c r="S21" s="214" t="e">
        <f>-(SUM(#REF!))</f>
        <v>#REF!</v>
      </c>
      <c r="T21" s="216" t="s">
        <v>126</v>
      </c>
      <c r="U21" s="215" t="e">
        <f t="shared" si="1"/>
        <v>#REF!</v>
      </c>
    </row>
    <row r="22" spans="1:22" x14ac:dyDescent="0.25">
      <c r="A22" s="180"/>
      <c r="B22" s="181"/>
      <c r="C22" s="182" t="s">
        <v>123</v>
      </c>
      <c r="D22" s="216" t="s">
        <v>126</v>
      </c>
      <c r="E22" s="216" t="s">
        <v>126</v>
      </c>
      <c r="F22" s="216" t="s">
        <v>126</v>
      </c>
      <c r="G22" s="217" t="s">
        <v>126</v>
      </c>
      <c r="H22" s="216" t="s">
        <v>126</v>
      </c>
      <c r="I22" s="218" t="s">
        <v>126</v>
      </c>
      <c r="M22" s="180"/>
      <c r="N22" s="181"/>
      <c r="O22" s="182" t="s">
        <v>123</v>
      </c>
      <c r="P22" s="213" t="e">
        <f>SUM(#REF!)</f>
        <v>#REF!</v>
      </c>
      <c r="Q22" s="213" t="e">
        <f>SUM(#REF!)</f>
        <v>#REF!</v>
      </c>
      <c r="R22" s="213" t="e">
        <f>SUM(#REF!)</f>
        <v>#REF!</v>
      </c>
      <c r="S22" s="214" t="e">
        <f>SUM(#REF!)</f>
        <v>#REF!</v>
      </c>
      <c r="T22" s="216" t="s">
        <v>126</v>
      </c>
      <c r="U22" s="215" t="e">
        <f t="shared" si="1"/>
        <v>#REF!</v>
      </c>
    </row>
    <row r="23" spans="1:22" ht="15.75" thickBot="1" x14ac:dyDescent="0.3">
      <c r="A23" s="183"/>
      <c r="B23" s="184"/>
      <c r="C23" s="185" t="s">
        <v>15</v>
      </c>
      <c r="D23" s="219" t="e">
        <f>#REF!+NPV(#REF!,#REF!)</f>
        <v>#REF!</v>
      </c>
      <c r="E23" s="219" t="e">
        <f>#REF!+NPV(#REF!,#REF!)</f>
        <v>#REF!</v>
      </c>
      <c r="F23" s="219" t="e">
        <f>#REF!+NPV(#REF!,#REF!)</f>
        <v>#REF!</v>
      </c>
      <c r="G23" s="220" t="e">
        <f>#REF!+NPV(#REF!,#REF!)</f>
        <v>#REF!</v>
      </c>
      <c r="H23" s="236" t="s">
        <v>126</v>
      </c>
      <c r="I23" s="221" t="e">
        <f>SUM(D23:G23)</f>
        <v>#REF!</v>
      </c>
      <c r="M23" s="180"/>
      <c r="N23" s="181"/>
      <c r="O23" s="182" t="s">
        <v>15</v>
      </c>
      <c r="P23" s="213" t="e">
        <f>SUM(#REF!)</f>
        <v>#REF!</v>
      </c>
      <c r="Q23" s="213" t="e">
        <f>SUM(#REF!)</f>
        <v>#REF!</v>
      </c>
      <c r="R23" s="213" t="e">
        <f>SUM(#REF!)</f>
        <v>#REF!</v>
      </c>
      <c r="S23" s="214" t="e">
        <f>SUM(#REF!)</f>
        <v>#REF!</v>
      </c>
      <c r="T23" s="236" t="s">
        <v>126</v>
      </c>
      <c r="U23" s="222" t="e">
        <f t="shared" si="1"/>
        <v>#REF!</v>
      </c>
    </row>
    <row r="24" spans="1:22" ht="15.75" thickBot="1" x14ac:dyDescent="0.3">
      <c r="A24" s="195"/>
      <c r="B24" s="178" t="s">
        <v>127</v>
      </c>
      <c r="C24" s="179"/>
      <c r="D24" s="233"/>
      <c r="E24" s="234"/>
      <c r="F24" s="234"/>
      <c r="G24" s="234"/>
      <c r="H24" s="240"/>
      <c r="I24" s="241"/>
      <c r="M24" s="195"/>
      <c r="N24" s="178" t="s">
        <v>127</v>
      </c>
      <c r="O24" s="179"/>
      <c r="P24" s="233"/>
      <c r="Q24" s="234"/>
      <c r="R24" s="234"/>
      <c r="S24" s="234"/>
      <c r="T24" s="240"/>
      <c r="U24" s="241"/>
    </row>
    <row r="25" spans="1:22" ht="16.5" thickBot="1" x14ac:dyDescent="0.3">
      <c r="A25" s="196"/>
      <c r="B25" s="197"/>
      <c r="C25" s="242"/>
      <c r="D25" s="198"/>
      <c r="E25" s="198"/>
      <c r="F25" s="198"/>
      <c r="G25" s="198"/>
      <c r="H25" s="198"/>
      <c r="I25" s="198"/>
      <c r="M25" s="196"/>
      <c r="N25" s="197"/>
      <c r="O25" s="244"/>
      <c r="P25" s="198"/>
      <c r="Q25" s="198"/>
      <c r="R25" s="198"/>
      <c r="S25" s="198"/>
      <c r="T25" s="198"/>
      <c r="U25" s="198"/>
    </row>
    <row r="26" spans="1:22" ht="16.5" thickBot="1" x14ac:dyDescent="0.3">
      <c r="A26" s="196"/>
      <c r="B26" s="197"/>
      <c r="C26" s="243"/>
      <c r="D26" s="198"/>
      <c r="E26" s="198"/>
      <c r="F26" s="198"/>
      <c r="G26" s="198"/>
      <c r="H26" s="198"/>
      <c r="I26" s="198"/>
      <c r="M26" s="196"/>
      <c r="N26" s="197"/>
      <c r="O26" s="245"/>
      <c r="P26" s="198"/>
      <c r="Q26" s="198"/>
      <c r="R26" s="198"/>
      <c r="S26" s="198"/>
      <c r="T26" s="198"/>
      <c r="U26" s="198"/>
    </row>
    <row r="27" spans="1:22" ht="16.5" thickBot="1" x14ac:dyDescent="0.3">
      <c r="A27" s="196"/>
      <c r="B27" s="197"/>
      <c r="C27" s="243"/>
      <c r="D27" s="198"/>
      <c r="E27" s="198"/>
      <c r="F27" s="198"/>
      <c r="G27" s="198"/>
      <c r="H27" s="198"/>
      <c r="I27" s="198"/>
      <c r="M27" s="196"/>
      <c r="N27" s="197"/>
      <c r="O27" s="245"/>
      <c r="P27" s="198"/>
      <c r="Q27" s="198"/>
      <c r="R27" s="198"/>
      <c r="S27" s="198"/>
      <c r="T27" s="198"/>
      <c r="U27" s="198"/>
    </row>
    <row r="28" spans="1:22" ht="16.5" thickBot="1" x14ac:dyDescent="0.3">
      <c r="C28" s="243"/>
      <c r="O28" s="246"/>
    </row>
    <row r="29" spans="1:22" x14ac:dyDescent="0.25">
      <c r="C29" s="199"/>
      <c r="O29" s="199"/>
    </row>
    <row r="30" spans="1:22" x14ac:dyDescent="0.25">
      <c r="C30" s="199"/>
    </row>
    <row r="32" spans="1:22" x14ac:dyDescent="0.25">
      <c r="L32" s="200"/>
      <c r="M32" s="200"/>
    </row>
  </sheetData>
  <sheetProtection insertColumns="0" insertRows="0" deleteColumns="0" deleteRows="0"/>
  <mergeCells count="4">
    <mergeCell ref="M1:O1"/>
    <mergeCell ref="A1:C1"/>
    <mergeCell ref="M2:O2"/>
    <mergeCell ref="A2:C2"/>
  </mergeCells>
  <pageMargins left="0.7" right="0.7" top="0.75" bottom="0.75" header="0.3" footer="0.3"/>
  <pageSetup paperSize="9" scale="53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CC"/>
    <outlinePr summaryBelow="0" summaryRight="0"/>
  </sheetPr>
  <dimension ref="A1:M44"/>
  <sheetViews>
    <sheetView tabSelected="1" view="pageBreakPreview" zoomScale="85" zoomScaleNormal="85" zoomScaleSheetLayoutView="85" workbookViewId="0">
      <selection activeCell="P1" sqref="P1"/>
    </sheetView>
  </sheetViews>
  <sheetFormatPr defaultColWidth="8.85546875" defaultRowHeight="15" outlineLevelCol="1" x14ac:dyDescent="0.25"/>
  <cols>
    <col min="2" max="2" width="54.140625" customWidth="1"/>
    <col min="3" max="3" width="18.85546875" customWidth="1"/>
    <col min="4" max="7" width="16" customWidth="1" outlineLevel="1"/>
    <col min="8" max="8" width="17.5703125" customWidth="1" outlineLevel="1"/>
    <col min="9" max="13" width="16" customWidth="1" outlineLevel="1"/>
  </cols>
  <sheetData>
    <row r="1" spans="1:13" ht="21" x14ac:dyDescent="0.35">
      <c r="A1" s="45" t="s">
        <v>64</v>
      </c>
      <c r="B1" s="46"/>
      <c r="D1" s="34"/>
      <c r="E1" s="32"/>
      <c r="F1" s="32"/>
      <c r="G1" s="32"/>
      <c r="H1" s="32"/>
      <c r="I1" s="280"/>
      <c r="J1" s="282"/>
      <c r="K1" s="32"/>
      <c r="L1" s="32"/>
      <c r="M1" s="28"/>
    </row>
    <row r="2" spans="1:13" ht="15.75" x14ac:dyDescent="0.25">
      <c r="A2" s="47"/>
      <c r="B2" s="33"/>
      <c r="C2" s="486" t="s">
        <v>215</v>
      </c>
      <c r="D2" s="278"/>
      <c r="F2" s="30"/>
      <c r="G2" s="30"/>
      <c r="H2" s="30"/>
      <c r="I2" s="283"/>
      <c r="J2" s="281"/>
      <c r="L2" s="30"/>
      <c r="M2" s="24"/>
    </row>
    <row r="3" spans="1:13" ht="15.75" x14ac:dyDescent="0.25">
      <c r="A3" s="122" t="s">
        <v>118</v>
      </c>
      <c r="B3" s="33"/>
      <c r="C3" s="487" t="s">
        <v>466</v>
      </c>
      <c r="D3" s="279"/>
      <c r="E3" s="279"/>
      <c r="F3" s="24"/>
      <c r="G3" s="24"/>
      <c r="H3" s="24"/>
      <c r="I3" s="24"/>
      <c r="J3" s="277"/>
      <c r="K3" s="24"/>
      <c r="L3" s="24"/>
      <c r="M3" s="24"/>
    </row>
    <row r="4" spans="1:13" x14ac:dyDescent="0.25">
      <c r="C4" s="487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.75" thickBot="1" x14ac:dyDescent="0.3">
      <c r="A5" s="34"/>
      <c r="B5" s="35"/>
      <c r="C5" s="29"/>
      <c r="D5" s="532" t="s">
        <v>65</v>
      </c>
      <c r="E5" s="532"/>
      <c r="F5" s="532"/>
      <c r="G5" s="532"/>
      <c r="H5" s="532"/>
      <c r="I5" s="532"/>
      <c r="J5" s="532"/>
      <c r="K5" s="532"/>
      <c r="L5" s="532"/>
      <c r="M5" s="532"/>
    </row>
    <row r="6" spans="1:13" x14ac:dyDescent="0.25">
      <c r="A6" s="119"/>
      <c r="B6" s="116" t="s">
        <v>117</v>
      </c>
      <c r="C6" s="39" t="s">
        <v>69</v>
      </c>
      <c r="D6" s="50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11</v>
      </c>
      <c r="L6" s="51" t="s">
        <v>12</v>
      </c>
      <c r="M6" s="52" t="s">
        <v>13</v>
      </c>
    </row>
    <row r="7" spans="1:13" x14ac:dyDescent="0.25">
      <c r="A7" s="120"/>
      <c r="B7" s="117" t="s">
        <v>72</v>
      </c>
      <c r="C7" s="40">
        <f t="shared" ref="C7:C14" si="0">SUM(D7:M7)</f>
        <v>0</v>
      </c>
      <c r="D7" s="53">
        <f>'TCO TO BE- SW'!$E5+'TCO TO BE- SW'!$E15</f>
        <v>0</v>
      </c>
      <c r="E7" s="37">
        <f>'TCO TO BE- SW'!$E6+'TCO TO BE- SW'!$E16</f>
        <v>0</v>
      </c>
      <c r="F7" s="37">
        <f>'TCO TO BE- SW'!$E7+'TCO TO BE- SW'!$E17</f>
        <v>0</v>
      </c>
      <c r="G7" s="37">
        <f>'TCO TO BE- SW'!$E8+'TCO TO BE- SW'!$E18</f>
        <v>0</v>
      </c>
      <c r="H7" s="37">
        <f>'TCO TO BE- SW'!$E9+'TCO TO BE- SW'!$E19</f>
        <v>0</v>
      </c>
      <c r="I7" s="37">
        <f>'TCO TO BE- SW'!$E10+'TCO TO BE- SW'!$E20</f>
        <v>0</v>
      </c>
      <c r="J7" s="37">
        <f>'TCO TO BE- SW'!$E11+'TCO TO BE- SW'!$E21</f>
        <v>0</v>
      </c>
      <c r="K7" s="37">
        <f>'TCO TO BE- SW'!$E12+'TCO TO BE- SW'!$E22</f>
        <v>0</v>
      </c>
      <c r="L7" s="37">
        <f>'TCO TO BE- SW'!$E13+'TCO TO BE- SW'!$E23</f>
        <v>0</v>
      </c>
      <c r="M7" s="54">
        <f>'TCO TO BE- SW'!$E14+'TCO TO BE- SW'!$E24</f>
        <v>0</v>
      </c>
    </row>
    <row r="8" spans="1:13" x14ac:dyDescent="0.25">
      <c r="A8" s="120"/>
      <c r="B8" s="117" t="s">
        <v>73</v>
      </c>
      <c r="C8" s="40">
        <f t="shared" si="0"/>
        <v>0</v>
      </c>
      <c r="D8" s="53">
        <f>'TCO TO BE- SW'!$E58+'TCO TO BE- SW'!$E68</f>
        <v>0</v>
      </c>
      <c r="E8" s="37">
        <f>'TCO TO BE- SW'!$E59+'TCO TO BE- SW'!$E69</f>
        <v>0</v>
      </c>
      <c r="F8" s="37">
        <f>'TCO TO BE- SW'!$E60+'TCO TO BE- SW'!$E70</f>
        <v>0</v>
      </c>
      <c r="G8" s="37">
        <f>'TCO TO BE- SW'!$E61+'TCO TO BE- SW'!$E71</f>
        <v>0</v>
      </c>
      <c r="H8" s="37">
        <f>'TCO TO BE- SW'!$E62+'TCO TO BE- SW'!$E72</f>
        <v>0</v>
      </c>
      <c r="I8" s="37">
        <f>'TCO TO BE- SW'!$E63+'TCO TO BE- SW'!$E73</f>
        <v>0</v>
      </c>
      <c r="J8" s="37">
        <f>'TCO TO BE- SW'!$E64+'TCO TO BE- SW'!$E74</f>
        <v>0</v>
      </c>
      <c r="K8" s="37">
        <f>'TCO TO BE- SW'!$E65+'TCO TO BE- SW'!$E75</f>
        <v>0</v>
      </c>
      <c r="L8" s="37">
        <f>'TCO TO BE- SW'!$E66+'TCO TO BE- SW'!$E76</f>
        <v>0</v>
      </c>
      <c r="M8" s="54">
        <f>'TCO TO BE- SW'!$E67+'TCO TO BE- SW'!$E77</f>
        <v>0</v>
      </c>
    </row>
    <row r="9" spans="1:13" x14ac:dyDescent="0.25">
      <c r="A9" s="120"/>
      <c r="B9" s="117" t="s">
        <v>74</v>
      </c>
      <c r="C9" s="40">
        <f t="shared" si="0"/>
        <v>463776.84683076915</v>
      </c>
      <c r="D9" s="53">
        <f>'TCO TO BE- SW'!$E26+'TCO TO BE- SW'!$E36+'TCO TO BE- SW'!$E46</f>
        <v>455838.84683076915</v>
      </c>
      <c r="E9" s="37">
        <f>'TCO TO BE- SW'!$E27+'TCO TO BE- SW'!$E37+'TCO TO BE- SW'!$E47</f>
        <v>7938</v>
      </c>
      <c r="F9" s="37">
        <f>'TCO TO BE- SW'!$E28+'TCO TO BE- SW'!$E38+'TCO TO BE- SW'!$E48</f>
        <v>0</v>
      </c>
      <c r="G9" s="37">
        <f>'TCO TO BE- SW'!$E29+'TCO TO BE- SW'!$E39+'TCO TO BE- SW'!$E49</f>
        <v>0</v>
      </c>
      <c r="H9" s="37">
        <f>'TCO TO BE- SW'!$E30+'TCO TO BE- SW'!$E40+'TCO TO BE- SW'!$E50</f>
        <v>0</v>
      </c>
      <c r="I9" s="37">
        <f>'TCO TO BE- SW'!$E31+'TCO TO BE- SW'!$E41+'TCO TO BE- SW'!$E51</f>
        <v>0</v>
      </c>
      <c r="J9" s="37">
        <f>'TCO TO BE- SW'!$E32+'TCO TO BE- SW'!$E42+'TCO TO BE- SW'!$E52</f>
        <v>0</v>
      </c>
      <c r="K9" s="37">
        <f>'TCO TO BE- SW'!$E33+'TCO TO BE- SW'!$E43+'TCO TO BE- SW'!$E53</f>
        <v>0</v>
      </c>
      <c r="L9" s="37">
        <f>'TCO TO BE- SW'!$E34+'TCO TO BE- SW'!$E44+'TCO TO BE- SW'!$E54</f>
        <v>0</v>
      </c>
      <c r="M9" s="54">
        <f>'TCO TO BE- SW'!$E35+'TCO TO BE- SW'!$E45+'TCO TO BE- SW'!$E55</f>
        <v>0</v>
      </c>
    </row>
    <row r="10" spans="1:13" x14ac:dyDescent="0.25">
      <c r="A10" s="120"/>
      <c r="B10" s="117" t="s">
        <v>212</v>
      </c>
      <c r="C10" s="40">
        <f t="shared" si="0"/>
        <v>158649.4055360308</v>
      </c>
      <c r="D10" s="53">
        <f>'TCO TO BE- SW'!$E79+'TCO TO BE- SW'!$E89+'TCO TO BE- SW'!$E99+'TCO TO BE- SW'!$E109+'TCO TO BE- SW'!$E119</f>
        <v>0</v>
      </c>
      <c r="E10" s="37">
        <f>'TCO TO BE- SW'!$E80+'TCO TO BE- SW'!$E90+'TCO TO BE- SW'!$E100+'TCO TO BE- SW'!$E110+'TCO TO BE- SW'!$E120</f>
        <v>9332.3179727076931</v>
      </c>
      <c r="F10" s="37">
        <f>'TCO TO BE- SW'!$E81+'TCO TO BE- SW'!$E91+'TCO TO BE- SW'!$E101+'TCO TO BE- SW'!$E111+'TCO TO BE- SW'!$E121</f>
        <v>18664.635945415386</v>
      </c>
      <c r="G10" s="37">
        <f>'TCO TO BE- SW'!$E82+'TCO TO BE- SW'!$E92+'TCO TO BE- SW'!$E102+'TCO TO BE- SW'!$E112+'TCO TO BE- SW'!$E122</f>
        <v>18664.635945415386</v>
      </c>
      <c r="H10" s="37">
        <f>'TCO TO BE- SW'!$E83+'TCO TO BE- SW'!$E93+'TCO TO BE- SW'!$E103+'TCO TO BE- SW'!$E113+'TCO TO BE- SW'!$E123</f>
        <v>18664.635945415386</v>
      </c>
      <c r="I10" s="37">
        <f>'TCO TO BE- SW'!$E84+'TCO TO BE- SW'!$E94+'TCO TO BE- SW'!$E104+'TCO TO BE- SW'!$E114+'TCO TO BE- SW'!$E124</f>
        <v>18664.635945415386</v>
      </c>
      <c r="J10" s="37">
        <f>'TCO TO BE- SW'!$E85+'TCO TO BE- SW'!$E95+'TCO TO BE- SW'!$E105+'TCO TO BE- SW'!$E115+'TCO TO BE- SW'!$E125</f>
        <v>18664.635945415386</v>
      </c>
      <c r="K10" s="37">
        <f>'TCO TO BE- SW'!$E86+'TCO TO BE- SW'!$E96+'TCO TO BE- SW'!$E106+'TCO TO BE- SW'!$E116+'TCO TO BE- SW'!$E126</f>
        <v>18664.635945415386</v>
      </c>
      <c r="L10" s="37">
        <f>'TCO TO BE- SW'!$E87+'TCO TO BE- SW'!$E97+'TCO TO BE- SW'!$E107+'TCO TO BE- SW'!$E117+'TCO TO BE- SW'!$E127</f>
        <v>18664.635945415386</v>
      </c>
      <c r="M10" s="54">
        <f>'TCO TO BE- SW'!$E88+'TCO TO BE- SW'!$E98+'TCO TO BE- SW'!$E108+'TCO TO BE- SW'!$E118+'TCO TO BE- SW'!$E128</f>
        <v>18664.635945415386</v>
      </c>
    </row>
    <row r="11" spans="1:13" x14ac:dyDescent="0.25">
      <c r="A11" s="120"/>
      <c r="B11" s="117" t="s">
        <v>193</v>
      </c>
      <c r="C11" s="40">
        <f t="shared" si="0"/>
        <v>0</v>
      </c>
      <c r="D11" s="53">
        <f>'TCO TO BE- SW'!E151+'TCO TO BE- SW'!E161</f>
        <v>0</v>
      </c>
      <c r="E11" s="37">
        <f>'TCO TO BE- SW'!E152+'TCO TO BE- SW'!E162</f>
        <v>0</v>
      </c>
      <c r="F11" s="37">
        <f>'TCO TO BE- SW'!E153+'TCO TO BE- SW'!E163</f>
        <v>0</v>
      </c>
      <c r="G11" s="37">
        <f>'TCO TO BE- SW'!E154+'TCO TO BE- SW'!E164</f>
        <v>0</v>
      </c>
      <c r="H11" s="37">
        <f>'TCO TO BE- SW'!E155+'TCO TO BE- SW'!E165</f>
        <v>0</v>
      </c>
      <c r="I11" s="37">
        <f>'TCO TO BE- SW'!E156+'TCO TO BE- SW'!E166</f>
        <v>0</v>
      </c>
      <c r="J11" s="37">
        <f>'TCO TO BE- SW'!E157+'TCO TO BE- SW'!E167</f>
        <v>0</v>
      </c>
      <c r="K11" s="37">
        <f>'TCO TO BE- SW'!E158+'TCO TO BE- SW'!E168</f>
        <v>0</v>
      </c>
      <c r="L11" s="37">
        <f>'TCO TO BE- SW'!E159+'TCO TO BE- SW'!E169</f>
        <v>0</v>
      </c>
      <c r="M11" s="54">
        <f>'TCO TO BE- SW'!E160+'TCO TO BE- SW'!E170</f>
        <v>0</v>
      </c>
    </row>
    <row r="12" spans="1:13" x14ac:dyDescent="0.25">
      <c r="A12" s="120"/>
      <c r="B12" s="117" t="s">
        <v>214</v>
      </c>
      <c r="C12" s="40">
        <f t="shared" si="0"/>
        <v>4730.6556</v>
      </c>
      <c r="D12" s="53">
        <f>'TCO TO BE - HW'!$E4+'TCO TO BE - HW'!$E14+'TCO TO BE - HW'!$E24</f>
        <v>2365.3278</v>
      </c>
      <c r="E12" s="37">
        <f>'TCO TO BE - HW'!$E5+'TCO TO BE - HW'!$E15+'TCO TO BE - HW'!$E25</f>
        <v>2365.3278</v>
      </c>
      <c r="F12" s="37">
        <f>'TCO TO BE - HW'!$E6+'TCO TO BE - HW'!$E16+'TCO TO BE - HW'!$E26</f>
        <v>0</v>
      </c>
      <c r="G12" s="37">
        <f>'TCO TO BE - HW'!$E7+'TCO TO BE - HW'!$E17+'TCO TO BE - HW'!$E27</f>
        <v>0</v>
      </c>
      <c r="H12" s="37">
        <f>'TCO TO BE - HW'!$E8+'TCO TO BE - HW'!$E18+'TCO TO BE - HW'!$E28</f>
        <v>0</v>
      </c>
      <c r="I12" s="37">
        <f>'TCO TO BE - HW'!$E9+'TCO TO BE - HW'!$E19+'TCO TO BE - HW'!$E29</f>
        <v>0</v>
      </c>
      <c r="J12" s="37">
        <f>'TCO TO BE - HW'!$E10+'TCO TO BE - HW'!$E20+'TCO TO BE - HW'!$E30</f>
        <v>0</v>
      </c>
      <c r="K12" s="37">
        <f>'TCO TO BE - HW'!$E11+'TCO TO BE - HW'!$E21+'TCO TO BE - HW'!$E31</f>
        <v>0</v>
      </c>
      <c r="L12" s="37">
        <f>'TCO TO BE - HW'!$E12+'TCO TO BE - HW'!$E22+'TCO TO BE - HW'!$E32</f>
        <v>0</v>
      </c>
      <c r="M12" s="54">
        <f>'TCO TO BE - HW'!$E13+'TCO TO BE - HW'!$E23+'TCO TO BE - HW'!$E33</f>
        <v>0</v>
      </c>
    </row>
    <row r="13" spans="1:13" x14ac:dyDescent="0.25">
      <c r="A13" s="120"/>
      <c r="B13" s="488" t="s">
        <v>465</v>
      </c>
      <c r="C13" s="40">
        <f t="shared" si="0"/>
        <v>35934.059937599995</v>
      </c>
      <c r="D13" s="53">
        <f>'TCO TO BE - HW'!$E35+'TCO TO BE - HW'!$E45+'TCO TO BE - HW'!$E55+'TCO TO BE - HW'!$E65+'TCO TO BE - HW'!$E75</f>
        <v>0</v>
      </c>
      <c r="E13" s="37">
        <f>'TCO TO BE - HW'!$E36+'TCO TO BE - HW'!$E46+'TCO TO BE - HW'!$E56+'TCO TO BE - HW'!$E66+'TCO TO BE - HW'!$E76</f>
        <v>2365.3278</v>
      </c>
      <c r="F13" s="37">
        <f>'TCO TO BE - HW'!$E37+'TCO TO BE - HW'!$E47+'TCO TO BE - HW'!$E57+'TCO TO BE - HW'!$E67+'TCO TO BE - HW'!$E77</f>
        <v>4636.042488</v>
      </c>
      <c r="G13" s="37">
        <f>'TCO TO BE - HW'!$E38+'TCO TO BE - HW'!$E48+'TCO TO BE - HW'!$E58+'TCO TO BE - HW'!$E68+'TCO TO BE - HW'!$E78</f>
        <v>4943.5351019999998</v>
      </c>
      <c r="H13" s="37">
        <f>'TCO TO BE - HW'!$E39+'TCO TO BE - HW'!$E49+'TCO TO BE - HW'!$E59+'TCO TO BE - HW'!$E69+'TCO TO BE - HW'!$E79</f>
        <v>4896.2285459999994</v>
      </c>
      <c r="I13" s="37">
        <f>'TCO TO BE - HW'!$E40+'TCO TO BE - HW'!$E50+'TCO TO BE - HW'!$E60+'TCO TO BE - HW'!$E70+'TCO TO BE - HW'!$E80</f>
        <v>4711.7329775999997</v>
      </c>
      <c r="J13" s="37">
        <f>'TCO TO BE - HW'!$E41+'TCO TO BE - HW'!$E51+'TCO TO BE - HW'!$E61+'TCO TO BE - HW'!$E71+'TCO TO BE - HW'!$E81</f>
        <v>4304.8965959999996</v>
      </c>
      <c r="K13" s="37">
        <f>'TCO TO BE - HW'!$E42+'TCO TO BE - HW'!$E52+'TCO TO BE - HW'!$E62+'TCO TO BE - HW'!$E72+'TCO TO BE - HW'!$E82</f>
        <v>3831.8310360000005</v>
      </c>
      <c r="L13" s="37">
        <f>'TCO TO BE - HW'!$E43+'TCO TO BE - HW'!$E53+'TCO TO BE - HW'!$E63+'TCO TO BE - HW'!$E73+'TCO TO BE - HW'!$E83</f>
        <v>3519.6077663999999</v>
      </c>
      <c r="M13" s="54">
        <f>'TCO TO BE - HW'!$E44+'TCO TO BE - HW'!$E54+'TCO TO BE - HW'!$E64+'TCO TO BE - HW'!$E74+'TCO TO BE - HW'!$E84</f>
        <v>2724.8576256000006</v>
      </c>
    </row>
    <row r="14" spans="1:13" ht="15.75" thickBot="1" x14ac:dyDescent="0.3">
      <c r="A14" s="120"/>
      <c r="B14" s="186" t="s">
        <v>177</v>
      </c>
      <c r="C14" s="187">
        <f t="shared" si="0"/>
        <v>22726.185000000001</v>
      </c>
      <c r="D14" s="188">
        <f>'TCO TO BE- SW'!E130+'TCO TO BE- SW'!E140</f>
        <v>22726.185000000001</v>
      </c>
      <c r="E14" s="189">
        <f>'TCO TO BE- SW'!E131+'TCO TO BE- SW'!E141</f>
        <v>0</v>
      </c>
      <c r="F14" s="189">
        <f>'TCO TO BE- SW'!E132+'TCO TO BE- SW'!E142</f>
        <v>0</v>
      </c>
      <c r="G14" s="189">
        <f>'TCO TO BE- SW'!E133+'TCO TO BE- SW'!E143</f>
        <v>0</v>
      </c>
      <c r="H14" s="189">
        <f>'TCO TO BE- SW'!E134+'TCO TO BE- SW'!E144</f>
        <v>0</v>
      </c>
      <c r="I14" s="189">
        <f>'TCO TO BE- SW'!E135+'TCO TO BE- SW'!E145</f>
        <v>0</v>
      </c>
      <c r="J14" s="189">
        <f>'TCO TO BE- SW'!E136+'TCO TO BE- SW'!E146</f>
        <v>0</v>
      </c>
      <c r="K14" s="189">
        <f>'TCO TO BE- SW'!E137+'TCO TO BE- SW'!E147</f>
        <v>0</v>
      </c>
      <c r="L14" s="189">
        <f>'TCO TO BE- SW'!E138+'TCO TO BE- SW'!E148</f>
        <v>0</v>
      </c>
      <c r="M14" s="190">
        <f>'TCO TO BE- SW'!E139+'TCO TO BE- SW'!E149</f>
        <v>0</v>
      </c>
    </row>
    <row r="15" spans="1:13" ht="15.75" thickBot="1" x14ac:dyDescent="0.3">
      <c r="A15" s="121"/>
      <c r="B15" s="118" t="s">
        <v>68</v>
      </c>
      <c r="C15" s="42">
        <f>SUM(C7:C14)</f>
        <v>685817.15290440014</v>
      </c>
      <c r="D15" s="38">
        <f>SUM(D7:D14)</f>
        <v>480930.35963076918</v>
      </c>
      <c r="E15" s="27">
        <f t="shared" ref="E15:F15" si="1">SUM(E7:E14)</f>
        <v>22000.973572707691</v>
      </c>
      <c r="F15" s="27">
        <f t="shared" si="1"/>
        <v>23300.678433415385</v>
      </c>
      <c r="G15" s="27">
        <f t="shared" ref="G15:M15" si="2">SUM(G7:G13)</f>
        <v>23608.171047415388</v>
      </c>
      <c r="H15" s="27">
        <f t="shared" si="2"/>
        <v>23560.864491415385</v>
      </c>
      <c r="I15" s="27">
        <f t="shared" si="2"/>
        <v>23376.368923015387</v>
      </c>
      <c r="J15" s="27">
        <f t="shared" si="2"/>
        <v>22969.532541415385</v>
      </c>
      <c r="K15" s="27">
        <f t="shared" si="2"/>
        <v>22496.466981415386</v>
      </c>
      <c r="L15" s="44">
        <f t="shared" si="2"/>
        <v>22184.243711815387</v>
      </c>
      <c r="M15" s="43">
        <f t="shared" si="2"/>
        <v>21389.493571015388</v>
      </c>
    </row>
    <row r="16" spans="1:1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8.75" x14ac:dyDescent="0.3">
      <c r="A17" s="25"/>
      <c r="B17" s="489" t="s">
        <v>460</v>
      </c>
      <c r="C17" s="472">
        <f>C7+C9+C12+C14</f>
        <v>491233.68743076915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32.25" customHeight="1" x14ac:dyDescent="0.25">
      <c r="A18" s="533" t="s">
        <v>79</v>
      </c>
      <c r="B18" s="533"/>
      <c r="C18" s="533"/>
      <c r="D18" s="31"/>
      <c r="E18" s="30"/>
      <c r="F18" s="30"/>
      <c r="G18" s="30"/>
      <c r="H18" s="30"/>
      <c r="I18" s="30"/>
      <c r="J18" s="30"/>
      <c r="K18" s="30"/>
      <c r="L18" s="30"/>
      <c r="M18" s="24"/>
    </row>
    <row r="19" spans="1:1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.75" thickBot="1" x14ac:dyDescent="0.3">
      <c r="A20" s="34"/>
      <c r="B20" s="35"/>
      <c r="C20" s="29"/>
      <c r="D20" s="532" t="s">
        <v>65</v>
      </c>
      <c r="E20" s="532"/>
      <c r="F20" s="532"/>
      <c r="G20" s="532"/>
      <c r="H20" s="532"/>
      <c r="I20" s="532"/>
      <c r="J20" s="532"/>
      <c r="K20" s="532"/>
      <c r="L20" s="532"/>
      <c r="M20" s="532"/>
    </row>
    <row r="21" spans="1:13" ht="17.100000000000001" customHeight="1" x14ac:dyDescent="0.25">
      <c r="A21" s="119"/>
      <c r="B21" s="115" t="s">
        <v>128</v>
      </c>
      <c r="C21" s="39" t="s">
        <v>69</v>
      </c>
      <c r="D21" s="50" t="s">
        <v>4</v>
      </c>
      <c r="E21" s="51" t="s">
        <v>5</v>
      </c>
      <c r="F21" s="51" t="s">
        <v>6</v>
      </c>
      <c r="G21" s="51" t="s">
        <v>7</v>
      </c>
      <c r="H21" s="51" t="s">
        <v>8</v>
      </c>
      <c r="I21" s="51" t="s">
        <v>9</v>
      </c>
      <c r="J21" s="51" t="s">
        <v>10</v>
      </c>
      <c r="K21" s="51" t="s">
        <v>11</v>
      </c>
      <c r="L21" s="51" t="s">
        <v>12</v>
      </c>
      <c r="M21" s="52" t="s">
        <v>13</v>
      </c>
    </row>
    <row r="22" spans="1:13" ht="15" customHeight="1" x14ac:dyDescent="0.25">
      <c r="A22" s="120"/>
      <c r="B22" s="48" t="s">
        <v>72</v>
      </c>
      <c r="C22" s="40">
        <v>0</v>
      </c>
      <c r="D22" s="53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54">
        <v>0</v>
      </c>
    </row>
    <row r="23" spans="1:13" ht="17.25" customHeight="1" x14ac:dyDescent="0.25">
      <c r="A23" s="120"/>
      <c r="B23" s="48" t="s">
        <v>73</v>
      </c>
      <c r="C23" s="40">
        <f>SUM(D23:M23)</f>
        <v>0</v>
      </c>
      <c r="D23" s="53">
        <f>'TCO AS IS - SW'!E5+'TCO AS IS - SW'!E15</f>
        <v>0</v>
      </c>
      <c r="E23" s="37">
        <f>'TCO AS IS - SW'!E6+'TCO AS IS - SW'!E16</f>
        <v>0</v>
      </c>
      <c r="F23" s="37">
        <f>'TCO AS IS - SW'!E7+'TCO AS IS - SW'!E17</f>
        <v>0</v>
      </c>
      <c r="G23" s="37">
        <f>'TCO AS IS - SW'!E8+'TCO AS IS - SW'!E18</f>
        <v>0</v>
      </c>
      <c r="H23" s="37">
        <f>'TCO AS IS - SW'!E9+'TCO AS IS - SW'!E19</f>
        <v>0</v>
      </c>
      <c r="I23" s="37">
        <f>'TCO AS IS - SW'!E10+'TCO AS IS - SW'!E20</f>
        <v>0</v>
      </c>
      <c r="J23" s="37">
        <f>'TCO AS IS - SW'!E11+'TCO AS IS - SW'!E21</f>
        <v>0</v>
      </c>
      <c r="K23" s="37">
        <f>'TCO AS IS - SW'!E12+'TCO AS IS - SW'!E22</f>
        <v>0</v>
      </c>
      <c r="L23" s="37">
        <f>'TCO AS IS - SW'!E13+'TCO AS IS - SW'!E23</f>
        <v>0</v>
      </c>
      <c r="M23" s="54">
        <f>'TCO AS IS - SW'!E14+'TCO AS IS - SW'!E24</f>
        <v>0</v>
      </c>
    </row>
    <row r="24" spans="1:13" x14ac:dyDescent="0.25">
      <c r="A24" s="120"/>
      <c r="B24" s="48" t="s">
        <v>74</v>
      </c>
      <c r="C24" s="40">
        <v>0</v>
      </c>
      <c r="D24" s="53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54">
        <v>0</v>
      </c>
    </row>
    <row r="25" spans="1:13" x14ac:dyDescent="0.25">
      <c r="A25" s="120"/>
      <c r="B25" s="48" t="s">
        <v>75</v>
      </c>
      <c r="C25" s="40">
        <f>SUM(D25:M25)</f>
        <v>0</v>
      </c>
      <c r="D25" s="53">
        <f>'TCO AS IS - SW'!E26+'TCO AS IS - SW'!E36+'TCO AS IS - SW'!E46+'TCO AS IS - SW'!E56+'TCO AS IS - SW'!E66</f>
        <v>0</v>
      </c>
      <c r="E25" s="37">
        <f>'TCO AS IS - SW'!E27+'TCO AS IS - SW'!E37+'TCO AS IS - SW'!E47+'TCO AS IS - SW'!E57+'TCO AS IS - SW'!E67</f>
        <v>0</v>
      </c>
      <c r="F25" s="37">
        <f>'TCO AS IS - SW'!E28+'TCO AS IS - SW'!E38+'TCO AS IS - SW'!E48+'TCO AS IS - SW'!E58+'TCO AS IS - SW'!E68</f>
        <v>0</v>
      </c>
      <c r="G25" s="37">
        <f>'TCO AS IS - SW'!E29+'TCO AS IS - SW'!E39+'TCO AS IS - SW'!E49+'TCO AS IS - SW'!E59+'TCO AS IS - SW'!E69</f>
        <v>0</v>
      </c>
      <c r="H25" s="37">
        <f>'TCO AS IS - SW'!E30+'TCO AS IS - SW'!E40+'TCO AS IS - SW'!E50+'TCO AS IS - SW'!E60+'TCO AS IS - SW'!E70</f>
        <v>0</v>
      </c>
      <c r="I25" s="37">
        <f>'TCO AS IS - SW'!E31+'TCO AS IS - SW'!E41+'TCO AS IS - SW'!E51+'TCO AS IS - SW'!E61+'TCO AS IS - SW'!E71</f>
        <v>0</v>
      </c>
      <c r="J25" s="37">
        <f>'TCO AS IS - SW'!E32+'TCO AS IS - SW'!E42+'TCO AS IS - SW'!E52+'TCO AS IS - SW'!E62+'TCO AS IS - SW'!E72</f>
        <v>0</v>
      </c>
      <c r="K25" s="37">
        <f>'TCO AS IS - SW'!E33+'TCO AS IS - SW'!E43+'TCO AS IS - SW'!E53+'TCO AS IS - SW'!E63+'TCO AS IS - SW'!E73</f>
        <v>0</v>
      </c>
      <c r="L25" s="37">
        <f>'TCO AS IS - SW'!E34+'TCO AS IS - SW'!E44+'TCO AS IS - SW'!E54+'TCO AS IS - SW'!E64+'TCO AS IS - SW'!E74</f>
        <v>0</v>
      </c>
      <c r="M25" s="54">
        <f>'TCO AS IS - SW'!E35+'TCO AS IS - SW'!E45+'TCO AS IS - SW'!E55+'TCO AS IS - SW'!E65+'TCO AS IS - SW'!E75</f>
        <v>0</v>
      </c>
    </row>
    <row r="26" spans="1:13" x14ac:dyDescent="0.25">
      <c r="A26" s="120"/>
      <c r="B26" s="48" t="s">
        <v>66</v>
      </c>
      <c r="C26" s="40">
        <v>0</v>
      </c>
      <c r="D26" s="53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54">
        <v>0</v>
      </c>
    </row>
    <row r="27" spans="1:13" ht="15.75" thickBot="1" x14ac:dyDescent="0.3">
      <c r="A27" s="120"/>
      <c r="B27" s="49" t="s">
        <v>67</v>
      </c>
      <c r="C27" s="41">
        <f>SUM(D27:M27)</f>
        <v>0</v>
      </c>
      <c r="D27" s="55">
        <f>'TCO AS IS - HW'!E4+'TCO AS IS - HW'!E14+'TCO AS IS - HW'!E24+'TCO AS IS - HW'!E34+'TCO AS IS - HW'!E44</f>
        <v>0</v>
      </c>
      <c r="E27" s="56">
        <f>'TCO AS IS - HW'!E5+'TCO AS IS - HW'!E15+'TCO AS IS - HW'!E25+'TCO AS IS - HW'!E35+'TCO AS IS - HW'!E45</f>
        <v>0</v>
      </c>
      <c r="F27" s="56">
        <f>'TCO AS IS - HW'!E6+'TCO AS IS - HW'!E16+'TCO AS IS - HW'!E26+'TCO AS IS - HW'!E36+'TCO AS IS - HW'!E46</f>
        <v>0</v>
      </c>
      <c r="G27" s="56">
        <f>'TCO AS IS - HW'!E7+'TCO AS IS - HW'!E17+'TCO AS IS - HW'!E27+'TCO AS IS - HW'!E37+'TCO AS IS - HW'!E47</f>
        <v>0</v>
      </c>
      <c r="H27" s="56">
        <f>'TCO AS IS - HW'!E8+'TCO AS IS - HW'!E18+'TCO AS IS - HW'!E28+'TCO AS IS - HW'!E38+'TCO AS IS - HW'!E48</f>
        <v>0</v>
      </c>
      <c r="I27" s="56">
        <f>'TCO AS IS - HW'!E9+'TCO AS IS - HW'!E19+'TCO AS IS - HW'!E29+'TCO AS IS - HW'!E39+'TCO AS IS - HW'!E49</f>
        <v>0</v>
      </c>
      <c r="J27" s="56">
        <f>'TCO AS IS - HW'!E10+'TCO AS IS - HW'!E20+'TCO AS IS - HW'!E30+'TCO AS IS - HW'!E40+'TCO AS IS - HW'!E50</f>
        <v>0</v>
      </c>
      <c r="K27" s="56">
        <f>'TCO AS IS - HW'!E11+'TCO AS IS - HW'!E21+'TCO AS IS - HW'!E31+'TCO AS IS - HW'!E41+'TCO AS IS - HW'!E51</f>
        <v>0</v>
      </c>
      <c r="L27" s="56">
        <f>'TCO AS IS - HW'!E12+'TCO AS IS - HW'!E22+'TCO AS IS - HW'!E32+'TCO AS IS - HW'!E42+'TCO AS IS - HW'!E52</f>
        <v>0</v>
      </c>
      <c r="M27" s="57">
        <f>'TCO AS IS - HW'!E13+'TCO AS IS - HW'!E23+'TCO AS IS - HW'!E33+'TCO AS IS - HW'!E43+'TCO AS IS - HW'!E53</f>
        <v>0</v>
      </c>
    </row>
    <row r="28" spans="1:13" ht="15.75" thickBot="1" x14ac:dyDescent="0.3">
      <c r="A28" s="121"/>
      <c r="B28" s="36" t="s">
        <v>68</v>
      </c>
      <c r="C28" s="42">
        <f t="shared" ref="C28:M28" si="3">SUM(C22:C27)</f>
        <v>0</v>
      </c>
      <c r="D28" s="38">
        <f t="shared" si="3"/>
        <v>0</v>
      </c>
      <c r="E28" s="27">
        <f t="shared" si="3"/>
        <v>0</v>
      </c>
      <c r="F28" s="27">
        <f t="shared" si="3"/>
        <v>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44">
        <f t="shared" si="3"/>
        <v>0</v>
      </c>
      <c r="M28" s="43">
        <f t="shared" si="3"/>
        <v>0</v>
      </c>
    </row>
    <row r="29" spans="1:13" x14ac:dyDescent="0.25">
      <c r="A29" s="112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  <row r="32" spans="1:13" ht="15.75" customHeight="1" x14ac:dyDescent="0.25">
      <c r="A32" s="533" t="s">
        <v>119</v>
      </c>
      <c r="B32" s="533"/>
      <c r="C32" s="533"/>
    </row>
    <row r="34" spans="1:13" ht="15.75" thickBot="1" x14ac:dyDescent="0.3"/>
    <row r="35" spans="1:13" x14ac:dyDescent="0.25">
      <c r="A35" s="119"/>
      <c r="B35" s="115" t="s">
        <v>114</v>
      </c>
      <c r="C35" s="93" t="s">
        <v>69</v>
      </c>
      <c r="D35" s="94" t="s">
        <v>4</v>
      </c>
      <c r="E35" s="95" t="s">
        <v>5</v>
      </c>
      <c r="F35" s="95" t="s">
        <v>6</v>
      </c>
      <c r="G35" s="95" t="s">
        <v>7</v>
      </c>
      <c r="H35" s="95" t="s">
        <v>8</v>
      </c>
      <c r="I35" s="95" t="s">
        <v>9</v>
      </c>
      <c r="J35" s="95" t="s">
        <v>10</v>
      </c>
      <c r="K35" s="95" t="s">
        <v>11</v>
      </c>
      <c r="L35" s="95" t="s">
        <v>12</v>
      </c>
      <c r="M35" s="96" t="s">
        <v>13</v>
      </c>
    </row>
    <row r="36" spans="1:13" x14ac:dyDescent="0.25">
      <c r="A36" s="120"/>
      <c r="B36" s="97" t="s">
        <v>72</v>
      </c>
      <c r="C36" s="98">
        <f>SUM(D36:M36)</f>
        <v>0</v>
      </c>
      <c r="D36" s="99">
        <f t="shared" ref="D36:M36" si="4">D7-D22</f>
        <v>0</v>
      </c>
      <c r="E36" s="100">
        <f t="shared" si="4"/>
        <v>0</v>
      </c>
      <c r="F36" s="100">
        <f t="shared" si="4"/>
        <v>0</v>
      </c>
      <c r="G36" s="100">
        <f t="shared" si="4"/>
        <v>0</v>
      </c>
      <c r="H36" s="100">
        <f t="shared" si="4"/>
        <v>0</v>
      </c>
      <c r="I36" s="100">
        <f t="shared" si="4"/>
        <v>0</v>
      </c>
      <c r="J36" s="100">
        <f t="shared" si="4"/>
        <v>0</v>
      </c>
      <c r="K36" s="100">
        <f t="shared" si="4"/>
        <v>0</v>
      </c>
      <c r="L36" s="100">
        <f t="shared" si="4"/>
        <v>0</v>
      </c>
      <c r="M36" s="110">
        <f t="shared" si="4"/>
        <v>0</v>
      </c>
    </row>
    <row r="37" spans="1:13" x14ac:dyDescent="0.25">
      <c r="A37" s="120"/>
      <c r="B37" s="102" t="s">
        <v>73</v>
      </c>
      <c r="C37" s="98">
        <f t="shared" ref="C37:C43" si="5">SUM(D37:M37)</f>
        <v>0</v>
      </c>
      <c r="D37" s="99">
        <f t="shared" ref="D37:M37" si="6">D8-D23</f>
        <v>0</v>
      </c>
      <c r="E37" s="100">
        <f t="shared" si="6"/>
        <v>0</v>
      </c>
      <c r="F37" s="100">
        <f t="shared" si="6"/>
        <v>0</v>
      </c>
      <c r="G37" s="100">
        <f t="shared" si="6"/>
        <v>0</v>
      </c>
      <c r="H37" s="100">
        <f t="shared" si="6"/>
        <v>0</v>
      </c>
      <c r="I37" s="100">
        <f t="shared" si="6"/>
        <v>0</v>
      </c>
      <c r="J37" s="100">
        <f t="shared" si="6"/>
        <v>0</v>
      </c>
      <c r="K37" s="100">
        <f t="shared" si="6"/>
        <v>0</v>
      </c>
      <c r="L37" s="111">
        <f t="shared" si="6"/>
        <v>0</v>
      </c>
      <c r="M37" s="101">
        <f t="shared" si="6"/>
        <v>0</v>
      </c>
    </row>
    <row r="38" spans="1:13" x14ac:dyDescent="0.25">
      <c r="A38" s="120"/>
      <c r="B38" s="97" t="s">
        <v>74</v>
      </c>
      <c r="C38" s="98">
        <f t="shared" si="5"/>
        <v>463776.84683076915</v>
      </c>
      <c r="D38" s="99">
        <f t="shared" ref="D38:M38" si="7">D9-D24</f>
        <v>455838.84683076915</v>
      </c>
      <c r="E38" s="100">
        <f t="shared" si="7"/>
        <v>7938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11">
        <f t="shared" si="7"/>
        <v>0</v>
      </c>
      <c r="M38" s="101">
        <f t="shared" si="7"/>
        <v>0</v>
      </c>
    </row>
    <row r="39" spans="1:13" x14ac:dyDescent="0.25">
      <c r="A39" s="120"/>
      <c r="B39" s="48" t="s">
        <v>75</v>
      </c>
      <c r="C39" s="98">
        <f t="shared" si="5"/>
        <v>158649.4055360308</v>
      </c>
      <c r="D39" s="99">
        <f t="shared" ref="D39:M39" si="8">D10-D25</f>
        <v>0</v>
      </c>
      <c r="E39" s="100">
        <f t="shared" si="8"/>
        <v>9332.3179727076931</v>
      </c>
      <c r="F39" s="100">
        <f t="shared" si="8"/>
        <v>18664.635945415386</v>
      </c>
      <c r="G39" s="100">
        <f t="shared" si="8"/>
        <v>18664.635945415386</v>
      </c>
      <c r="H39" s="100">
        <f t="shared" si="8"/>
        <v>18664.635945415386</v>
      </c>
      <c r="I39" s="100">
        <f t="shared" si="8"/>
        <v>18664.635945415386</v>
      </c>
      <c r="J39" s="100">
        <f t="shared" si="8"/>
        <v>18664.635945415386</v>
      </c>
      <c r="K39" s="100">
        <f t="shared" si="8"/>
        <v>18664.635945415386</v>
      </c>
      <c r="L39" s="111">
        <f t="shared" si="8"/>
        <v>18664.635945415386</v>
      </c>
      <c r="M39" s="101">
        <f t="shared" si="8"/>
        <v>18664.635945415386</v>
      </c>
    </row>
    <row r="40" spans="1:13" x14ac:dyDescent="0.25">
      <c r="A40" s="120"/>
      <c r="B40" s="48" t="s">
        <v>193</v>
      </c>
      <c r="C40" s="98">
        <f t="shared" si="5"/>
        <v>0</v>
      </c>
      <c r="D40" s="99">
        <f t="shared" ref="D40:M40" si="9">D11</f>
        <v>0</v>
      </c>
      <c r="E40" s="100">
        <f t="shared" si="9"/>
        <v>0</v>
      </c>
      <c r="F40" s="100">
        <f t="shared" si="9"/>
        <v>0</v>
      </c>
      <c r="G40" s="100">
        <f t="shared" si="9"/>
        <v>0</v>
      </c>
      <c r="H40" s="100">
        <f t="shared" si="9"/>
        <v>0</v>
      </c>
      <c r="I40" s="100">
        <f t="shared" si="9"/>
        <v>0</v>
      </c>
      <c r="J40" s="100">
        <f t="shared" si="9"/>
        <v>0</v>
      </c>
      <c r="K40" s="100">
        <f t="shared" si="9"/>
        <v>0</v>
      </c>
      <c r="L40" s="111">
        <f t="shared" si="9"/>
        <v>0</v>
      </c>
      <c r="M40" s="101">
        <f t="shared" si="9"/>
        <v>0</v>
      </c>
    </row>
    <row r="41" spans="1:13" x14ac:dyDescent="0.25">
      <c r="A41" s="120"/>
      <c r="B41" s="48" t="s">
        <v>115</v>
      </c>
      <c r="C41" s="98">
        <f t="shared" si="5"/>
        <v>4730.6556</v>
      </c>
      <c r="D41" s="99">
        <f t="shared" ref="D41:M41" si="10">D12-D26</f>
        <v>2365.3278</v>
      </c>
      <c r="E41" s="100">
        <f t="shared" si="10"/>
        <v>2365.3278</v>
      </c>
      <c r="F41" s="100">
        <f t="shared" si="10"/>
        <v>0</v>
      </c>
      <c r="G41" s="100">
        <f t="shared" si="10"/>
        <v>0</v>
      </c>
      <c r="H41" s="100">
        <f t="shared" si="10"/>
        <v>0</v>
      </c>
      <c r="I41" s="100">
        <f t="shared" si="10"/>
        <v>0</v>
      </c>
      <c r="J41" s="100">
        <f t="shared" si="10"/>
        <v>0</v>
      </c>
      <c r="K41" s="100">
        <f t="shared" si="10"/>
        <v>0</v>
      </c>
      <c r="L41" s="111">
        <f t="shared" si="10"/>
        <v>0</v>
      </c>
      <c r="M41" s="101">
        <f t="shared" si="10"/>
        <v>0</v>
      </c>
    </row>
    <row r="42" spans="1:13" x14ac:dyDescent="0.25">
      <c r="A42" s="120"/>
      <c r="B42" s="103" t="s">
        <v>116</v>
      </c>
      <c r="C42" s="104">
        <f t="shared" si="5"/>
        <v>35934.059937599995</v>
      </c>
      <c r="D42" s="99">
        <f t="shared" ref="D42:M42" si="11">D13-D27</f>
        <v>0</v>
      </c>
      <c r="E42" s="100">
        <f t="shared" si="11"/>
        <v>2365.3278</v>
      </c>
      <c r="F42" s="100">
        <f t="shared" si="11"/>
        <v>4636.042488</v>
      </c>
      <c r="G42" s="100">
        <f t="shared" si="11"/>
        <v>4943.5351019999998</v>
      </c>
      <c r="H42" s="100">
        <f t="shared" si="11"/>
        <v>4896.2285459999994</v>
      </c>
      <c r="I42" s="100">
        <f t="shared" si="11"/>
        <v>4711.7329775999997</v>
      </c>
      <c r="J42" s="100">
        <f t="shared" si="11"/>
        <v>4304.8965959999996</v>
      </c>
      <c r="K42" s="100">
        <f t="shared" si="11"/>
        <v>3831.8310360000005</v>
      </c>
      <c r="L42" s="111">
        <f t="shared" si="11"/>
        <v>3519.6077663999999</v>
      </c>
      <c r="M42" s="101">
        <f t="shared" si="11"/>
        <v>2724.8576256000006</v>
      </c>
    </row>
    <row r="43" spans="1:13" ht="15.75" thickBot="1" x14ac:dyDescent="0.3">
      <c r="A43" s="120"/>
      <c r="B43" s="48" t="s">
        <v>177</v>
      </c>
      <c r="C43" s="98">
        <f t="shared" si="5"/>
        <v>22726.185000000001</v>
      </c>
      <c r="D43" s="99">
        <f t="shared" ref="D43:M43" si="12">D14</f>
        <v>22726.185000000001</v>
      </c>
      <c r="E43" s="100">
        <f t="shared" si="12"/>
        <v>0</v>
      </c>
      <c r="F43" s="100">
        <f t="shared" si="12"/>
        <v>0</v>
      </c>
      <c r="G43" s="100">
        <f t="shared" si="12"/>
        <v>0</v>
      </c>
      <c r="H43" s="100">
        <f t="shared" si="12"/>
        <v>0</v>
      </c>
      <c r="I43" s="100">
        <f t="shared" si="12"/>
        <v>0</v>
      </c>
      <c r="J43" s="100">
        <f t="shared" si="12"/>
        <v>0</v>
      </c>
      <c r="K43" s="100">
        <f t="shared" si="12"/>
        <v>0</v>
      </c>
      <c r="L43" s="111">
        <f t="shared" si="12"/>
        <v>0</v>
      </c>
      <c r="M43" s="101">
        <f t="shared" si="12"/>
        <v>0</v>
      </c>
    </row>
    <row r="44" spans="1:13" ht="15.75" thickBot="1" x14ac:dyDescent="0.3">
      <c r="A44" s="121"/>
      <c r="B44" s="36" t="s">
        <v>68</v>
      </c>
      <c r="C44" s="105">
        <f>SUM(D44:M44)</f>
        <v>685817.1529043999</v>
      </c>
      <c r="D44" s="106">
        <f>SUM(D36:D43)</f>
        <v>480930.35963076918</v>
      </c>
      <c r="E44" s="107">
        <f t="shared" ref="E44:F44" si="13">SUM(E36:E43)</f>
        <v>22000.973572707691</v>
      </c>
      <c r="F44" s="107">
        <f t="shared" si="13"/>
        <v>23300.678433415385</v>
      </c>
      <c r="G44" s="107">
        <f t="shared" ref="G44:M44" si="14">SUM(G36:G42)</f>
        <v>23608.171047415388</v>
      </c>
      <c r="H44" s="107">
        <f t="shared" si="14"/>
        <v>23560.864491415385</v>
      </c>
      <c r="I44" s="107">
        <f t="shared" si="14"/>
        <v>23376.368923015387</v>
      </c>
      <c r="J44" s="107">
        <f t="shared" si="14"/>
        <v>22969.532541415385</v>
      </c>
      <c r="K44" s="107">
        <f t="shared" si="14"/>
        <v>22496.466981415386</v>
      </c>
      <c r="L44" s="108">
        <f t="shared" si="14"/>
        <v>22184.243711815387</v>
      </c>
      <c r="M44" s="109">
        <f t="shared" si="14"/>
        <v>21389.493571015388</v>
      </c>
    </row>
  </sheetData>
  <mergeCells count="4">
    <mergeCell ref="D5:M5"/>
    <mergeCell ref="A18:C18"/>
    <mergeCell ref="D20:M20"/>
    <mergeCell ref="A32:C32"/>
  </mergeCells>
  <pageMargins left="0.7" right="0.7" top="0.75" bottom="0.75" header="0.3" footer="0.3"/>
  <pageSetup paperSize="9" scale="33" orientation="portrait" r:id="rId1"/>
  <colBreaks count="1" manualBreakCount="1">
    <brk id="13" max="7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CC"/>
    <outlinePr summaryBelow="0" summaryRight="0"/>
  </sheetPr>
  <dimension ref="A1:E75"/>
  <sheetViews>
    <sheetView view="pageBreakPreview" zoomScale="60" zoomScaleNormal="85" workbookViewId="0">
      <selection sqref="A1:Y1"/>
    </sheetView>
  </sheetViews>
  <sheetFormatPr defaultColWidth="8.85546875" defaultRowHeight="15" outlineLevelRow="2" x14ac:dyDescent="0.25"/>
  <cols>
    <col min="1" max="1" width="22.42578125" customWidth="1"/>
    <col min="2" max="2" width="23.28515625" customWidth="1"/>
    <col min="3" max="3" width="22.42578125" customWidth="1"/>
    <col min="5" max="5" width="17.85546875" customWidth="1"/>
  </cols>
  <sheetData>
    <row r="1" spans="1:5" ht="25.35" customHeight="1" thickBot="1" x14ac:dyDescent="0.4">
      <c r="A1" s="536" t="s">
        <v>63</v>
      </c>
      <c r="B1" s="536"/>
      <c r="C1" s="536"/>
      <c r="D1" s="537"/>
      <c r="E1" s="12" t="s">
        <v>14</v>
      </c>
    </row>
    <row r="2" spans="1:5" ht="15.75" collapsed="1" thickBot="1" x14ac:dyDescent="0.3">
      <c r="A2" s="5" t="s">
        <v>0</v>
      </c>
      <c r="B2" s="17" t="s">
        <v>39</v>
      </c>
      <c r="C2" s="17" t="s">
        <v>38</v>
      </c>
      <c r="D2" s="17" t="s">
        <v>3</v>
      </c>
      <c r="E2" s="1"/>
    </row>
    <row r="3" spans="1:5" ht="15.75" thickBot="1" x14ac:dyDescent="0.3">
      <c r="A3" s="538" t="s">
        <v>43</v>
      </c>
      <c r="B3" s="539"/>
      <c r="C3" s="539"/>
      <c r="D3" s="23"/>
      <c r="E3" s="19">
        <f>E4+E25</f>
        <v>0</v>
      </c>
    </row>
    <row r="4" spans="1:5" ht="15.75" outlineLevel="1" thickBot="1" x14ac:dyDescent="0.3">
      <c r="A4" s="1" t="s">
        <v>70</v>
      </c>
      <c r="B4" s="1"/>
      <c r="C4" s="1"/>
      <c r="D4" s="2"/>
      <c r="E4" s="76">
        <f>SUM(E5:E24)</f>
        <v>0</v>
      </c>
    </row>
    <row r="5" spans="1:5" outlineLevel="2" x14ac:dyDescent="0.25">
      <c r="A5" s="534" t="s">
        <v>44</v>
      </c>
      <c r="B5" s="535" t="s">
        <v>45</v>
      </c>
      <c r="C5" s="535">
        <v>635009</v>
      </c>
      <c r="D5" s="9" t="s">
        <v>4</v>
      </c>
      <c r="E5" s="6">
        <v>0</v>
      </c>
    </row>
    <row r="6" spans="1:5" outlineLevel="2" x14ac:dyDescent="0.25">
      <c r="A6" s="534"/>
      <c r="B6" s="535"/>
      <c r="C6" s="535"/>
      <c r="D6" s="10" t="s">
        <v>5</v>
      </c>
      <c r="E6" s="7">
        <v>0</v>
      </c>
    </row>
    <row r="7" spans="1:5" outlineLevel="2" x14ac:dyDescent="0.25">
      <c r="A7" s="534"/>
      <c r="B7" s="535"/>
      <c r="C7" s="535"/>
      <c r="D7" s="10" t="s">
        <v>6</v>
      </c>
      <c r="E7" s="7">
        <v>0</v>
      </c>
    </row>
    <row r="8" spans="1:5" outlineLevel="2" x14ac:dyDescent="0.25">
      <c r="A8" s="534"/>
      <c r="B8" s="535"/>
      <c r="C8" s="535"/>
      <c r="D8" s="10" t="s">
        <v>7</v>
      </c>
      <c r="E8" s="7">
        <v>0</v>
      </c>
    </row>
    <row r="9" spans="1:5" outlineLevel="2" x14ac:dyDescent="0.25">
      <c r="A9" s="534"/>
      <c r="B9" s="535"/>
      <c r="C9" s="535"/>
      <c r="D9" s="10" t="s">
        <v>8</v>
      </c>
      <c r="E9" s="7">
        <v>0</v>
      </c>
    </row>
    <row r="10" spans="1:5" outlineLevel="2" x14ac:dyDescent="0.25">
      <c r="A10" s="534"/>
      <c r="B10" s="535"/>
      <c r="C10" s="535"/>
      <c r="D10" s="10" t="s">
        <v>9</v>
      </c>
      <c r="E10" s="7">
        <v>0</v>
      </c>
    </row>
    <row r="11" spans="1:5" outlineLevel="2" x14ac:dyDescent="0.25">
      <c r="A11" s="534"/>
      <c r="B11" s="535"/>
      <c r="C11" s="535"/>
      <c r="D11" s="10" t="s">
        <v>10</v>
      </c>
      <c r="E11" s="7">
        <v>0</v>
      </c>
    </row>
    <row r="12" spans="1:5" outlineLevel="2" x14ac:dyDescent="0.25">
      <c r="A12" s="534"/>
      <c r="B12" s="535"/>
      <c r="C12" s="535"/>
      <c r="D12" s="10" t="s">
        <v>11</v>
      </c>
      <c r="E12" s="7">
        <v>0</v>
      </c>
    </row>
    <row r="13" spans="1:5" outlineLevel="2" x14ac:dyDescent="0.25">
      <c r="A13" s="534"/>
      <c r="B13" s="535"/>
      <c r="C13" s="535"/>
      <c r="D13" s="10" t="s">
        <v>12</v>
      </c>
      <c r="E13" s="7">
        <v>0</v>
      </c>
    </row>
    <row r="14" spans="1:5" ht="15.75" outlineLevel="2" thickBot="1" x14ac:dyDescent="0.3">
      <c r="A14" s="534"/>
      <c r="B14" s="535"/>
      <c r="C14" s="535"/>
      <c r="D14" s="11" t="s">
        <v>13</v>
      </c>
      <c r="E14" s="8">
        <v>0</v>
      </c>
    </row>
    <row r="15" spans="1:5" outlineLevel="2" x14ac:dyDescent="0.25">
      <c r="A15" s="534" t="s">
        <v>46</v>
      </c>
      <c r="B15" s="535" t="s">
        <v>37</v>
      </c>
      <c r="C15" s="535">
        <v>718006</v>
      </c>
      <c r="D15" s="9" t="s">
        <v>4</v>
      </c>
      <c r="E15" s="7">
        <v>0</v>
      </c>
    </row>
    <row r="16" spans="1:5" outlineLevel="2" x14ac:dyDescent="0.25">
      <c r="A16" s="534"/>
      <c r="B16" s="535"/>
      <c r="C16" s="535"/>
      <c r="D16" s="10" t="s">
        <v>5</v>
      </c>
      <c r="E16" s="7">
        <v>0</v>
      </c>
    </row>
    <row r="17" spans="1:5" outlineLevel="2" x14ac:dyDescent="0.25">
      <c r="A17" s="534"/>
      <c r="B17" s="535"/>
      <c r="C17" s="535"/>
      <c r="D17" s="10" t="s">
        <v>6</v>
      </c>
      <c r="E17" s="7">
        <v>0</v>
      </c>
    </row>
    <row r="18" spans="1:5" outlineLevel="2" x14ac:dyDescent="0.25">
      <c r="A18" s="534"/>
      <c r="B18" s="535"/>
      <c r="C18" s="535"/>
      <c r="D18" s="10" t="s">
        <v>7</v>
      </c>
      <c r="E18" s="7">
        <v>0</v>
      </c>
    </row>
    <row r="19" spans="1:5" outlineLevel="2" x14ac:dyDescent="0.25">
      <c r="A19" s="534"/>
      <c r="B19" s="535"/>
      <c r="C19" s="535"/>
      <c r="D19" s="10" t="s">
        <v>8</v>
      </c>
      <c r="E19" s="7">
        <v>0</v>
      </c>
    </row>
    <row r="20" spans="1:5" outlineLevel="2" x14ac:dyDescent="0.25">
      <c r="A20" s="534"/>
      <c r="B20" s="535"/>
      <c r="C20" s="535"/>
      <c r="D20" s="10" t="s">
        <v>9</v>
      </c>
      <c r="E20" s="7">
        <v>0</v>
      </c>
    </row>
    <row r="21" spans="1:5" outlineLevel="2" x14ac:dyDescent="0.25">
      <c r="A21" s="534"/>
      <c r="B21" s="535"/>
      <c r="C21" s="535"/>
      <c r="D21" s="10" t="s">
        <v>10</v>
      </c>
      <c r="E21" s="7">
        <v>0</v>
      </c>
    </row>
    <row r="22" spans="1:5" outlineLevel="2" x14ac:dyDescent="0.25">
      <c r="A22" s="534"/>
      <c r="B22" s="535"/>
      <c r="C22" s="535"/>
      <c r="D22" s="10" t="s">
        <v>11</v>
      </c>
      <c r="E22" s="7">
        <v>0</v>
      </c>
    </row>
    <row r="23" spans="1:5" outlineLevel="2" x14ac:dyDescent="0.25">
      <c r="A23" s="534"/>
      <c r="B23" s="535"/>
      <c r="C23" s="535"/>
      <c r="D23" s="10" t="s">
        <v>12</v>
      </c>
      <c r="E23" s="7">
        <v>0</v>
      </c>
    </row>
    <row r="24" spans="1:5" ht="15.75" outlineLevel="2" thickBot="1" x14ac:dyDescent="0.3">
      <c r="A24" s="534"/>
      <c r="B24" s="535"/>
      <c r="C24" s="535"/>
      <c r="D24" s="11" t="s">
        <v>13</v>
      </c>
      <c r="E24" s="8">
        <v>0</v>
      </c>
    </row>
    <row r="25" spans="1:5" ht="15.75" outlineLevel="1" thickBot="1" x14ac:dyDescent="0.3">
      <c r="A25" s="1" t="s">
        <v>71</v>
      </c>
      <c r="B25" s="1"/>
      <c r="C25" s="1"/>
      <c r="D25" s="2"/>
      <c r="E25" s="78">
        <f>SUM(E26:E75)</f>
        <v>0</v>
      </c>
    </row>
    <row r="26" spans="1:5" outlineLevel="2" x14ac:dyDescent="0.25">
      <c r="A26" s="534" t="s">
        <v>47</v>
      </c>
      <c r="B26" s="535" t="s">
        <v>45</v>
      </c>
      <c r="C26" s="535">
        <v>635009</v>
      </c>
      <c r="D26" s="9" t="s">
        <v>4</v>
      </c>
      <c r="E26" s="13">
        <v>0</v>
      </c>
    </row>
    <row r="27" spans="1:5" outlineLevel="2" x14ac:dyDescent="0.25">
      <c r="A27" s="534"/>
      <c r="B27" s="535"/>
      <c r="C27" s="535"/>
      <c r="D27" s="10" t="s">
        <v>5</v>
      </c>
      <c r="E27" s="14">
        <v>0</v>
      </c>
    </row>
    <row r="28" spans="1:5" outlineLevel="2" x14ac:dyDescent="0.25">
      <c r="A28" s="534"/>
      <c r="B28" s="535"/>
      <c r="C28" s="535"/>
      <c r="D28" s="10" t="s">
        <v>6</v>
      </c>
      <c r="E28" s="14">
        <v>0</v>
      </c>
    </row>
    <row r="29" spans="1:5" outlineLevel="2" x14ac:dyDescent="0.25">
      <c r="A29" s="534"/>
      <c r="B29" s="535"/>
      <c r="C29" s="535"/>
      <c r="D29" s="10" t="s">
        <v>7</v>
      </c>
      <c r="E29" s="14">
        <v>0</v>
      </c>
    </row>
    <row r="30" spans="1:5" outlineLevel="2" x14ac:dyDescent="0.25">
      <c r="A30" s="534"/>
      <c r="B30" s="535"/>
      <c r="C30" s="535"/>
      <c r="D30" s="10" t="s">
        <v>8</v>
      </c>
      <c r="E30" s="14">
        <v>0</v>
      </c>
    </row>
    <row r="31" spans="1:5" outlineLevel="2" x14ac:dyDescent="0.25">
      <c r="A31" s="534"/>
      <c r="B31" s="535"/>
      <c r="C31" s="535"/>
      <c r="D31" s="10" t="s">
        <v>9</v>
      </c>
      <c r="E31" s="14">
        <v>0</v>
      </c>
    </row>
    <row r="32" spans="1:5" outlineLevel="2" x14ac:dyDescent="0.25">
      <c r="A32" s="534"/>
      <c r="B32" s="535"/>
      <c r="C32" s="535"/>
      <c r="D32" s="10" t="s">
        <v>10</v>
      </c>
      <c r="E32" s="14">
        <v>0</v>
      </c>
    </row>
    <row r="33" spans="1:5" outlineLevel="2" x14ac:dyDescent="0.25">
      <c r="A33" s="534"/>
      <c r="B33" s="535"/>
      <c r="C33" s="535"/>
      <c r="D33" s="10" t="s">
        <v>11</v>
      </c>
      <c r="E33" s="14">
        <v>0</v>
      </c>
    </row>
    <row r="34" spans="1:5" outlineLevel="2" x14ac:dyDescent="0.25">
      <c r="A34" s="534"/>
      <c r="B34" s="535"/>
      <c r="C34" s="535"/>
      <c r="D34" s="10" t="s">
        <v>12</v>
      </c>
      <c r="E34" s="14">
        <v>0</v>
      </c>
    </row>
    <row r="35" spans="1:5" ht="15.75" outlineLevel="2" thickBot="1" x14ac:dyDescent="0.3">
      <c r="A35" s="534"/>
      <c r="B35" s="535"/>
      <c r="C35" s="535"/>
      <c r="D35" s="11" t="s">
        <v>13</v>
      </c>
      <c r="E35" s="15">
        <v>0</v>
      </c>
    </row>
    <row r="36" spans="1:5" outlineLevel="2" x14ac:dyDescent="0.25">
      <c r="A36" s="534" t="s">
        <v>48</v>
      </c>
      <c r="B36" s="535" t="s">
        <v>42</v>
      </c>
      <c r="C36" s="535">
        <v>637005</v>
      </c>
      <c r="D36" s="9" t="s">
        <v>4</v>
      </c>
      <c r="E36" s="14">
        <v>0</v>
      </c>
    </row>
    <row r="37" spans="1:5" outlineLevel="2" x14ac:dyDescent="0.25">
      <c r="A37" s="534"/>
      <c r="B37" s="535"/>
      <c r="C37" s="535"/>
      <c r="D37" s="10" t="s">
        <v>5</v>
      </c>
      <c r="E37" s="14">
        <v>0</v>
      </c>
    </row>
    <row r="38" spans="1:5" outlineLevel="2" x14ac:dyDescent="0.25">
      <c r="A38" s="534"/>
      <c r="B38" s="535"/>
      <c r="C38" s="535"/>
      <c r="D38" s="10" t="s">
        <v>6</v>
      </c>
      <c r="E38" s="14">
        <v>0</v>
      </c>
    </row>
    <row r="39" spans="1:5" outlineLevel="2" x14ac:dyDescent="0.25">
      <c r="A39" s="534"/>
      <c r="B39" s="535"/>
      <c r="C39" s="535"/>
      <c r="D39" s="10" t="s">
        <v>7</v>
      </c>
      <c r="E39" s="14">
        <v>0</v>
      </c>
    </row>
    <row r="40" spans="1:5" outlineLevel="2" x14ac:dyDescent="0.25">
      <c r="A40" s="534"/>
      <c r="B40" s="535"/>
      <c r="C40" s="535"/>
      <c r="D40" s="10" t="s">
        <v>8</v>
      </c>
      <c r="E40" s="14">
        <v>0</v>
      </c>
    </row>
    <row r="41" spans="1:5" outlineLevel="2" x14ac:dyDescent="0.25">
      <c r="A41" s="534"/>
      <c r="B41" s="535"/>
      <c r="C41" s="535"/>
      <c r="D41" s="10" t="s">
        <v>9</v>
      </c>
      <c r="E41" s="14">
        <v>0</v>
      </c>
    </row>
    <row r="42" spans="1:5" outlineLevel="2" x14ac:dyDescent="0.25">
      <c r="A42" s="534"/>
      <c r="B42" s="535"/>
      <c r="C42" s="535"/>
      <c r="D42" s="10" t="s">
        <v>10</v>
      </c>
      <c r="E42" s="14">
        <v>0</v>
      </c>
    </row>
    <row r="43" spans="1:5" outlineLevel="2" x14ac:dyDescent="0.25">
      <c r="A43" s="534"/>
      <c r="B43" s="535"/>
      <c r="C43" s="535"/>
      <c r="D43" s="10" t="s">
        <v>11</v>
      </c>
      <c r="E43" s="14">
        <v>0</v>
      </c>
    </row>
    <row r="44" spans="1:5" outlineLevel="2" x14ac:dyDescent="0.25">
      <c r="A44" s="534"/>
      <c r="B44" s="535"/>
      <c r="C44" s="535"/>
      <c r="D44" s="10" t="s">
        <v>12</v>
      </c>
      <c r="E44" s="14">
        <v>0</v>
      </c>
    </row>
    <row r="45" spans="1:5" ht="15.75" outlineLevel="2" thickBot="1" x14ac:dyDescent="0.3">
      <c r="A45" s="534"/>
      <c r="B45" s="535"/>
      <c r="C45" s="535"/>
      <c r="D45" s="11" t="s">
        <v>13</v>
      </c>
      <c r="E45" s="15">
        <v>0</v>
      </c>
    </row>
    <row r="46" spans="1:5" outlineLevel="2" x14ac:dyDescent="0.25">
      <c r="A46" s="534" t="s">
        <v>49</v>
      </c>
      <c r="B46" s="535" t="s">
        <v>37</v>
      </c>
      <c r="C46" s="535">
        <v>718006</v>
      </c>
      <c r="D46" s="9" t="s">
        <v>4</v>
      </c>
      <c r="E46" s="14">
        <v>0</v>
      </c>
    </row>
    <row r="47" spans="1:5" outlineLevel="2" x14ac:dyDescent="0.25">
      <c r="A47" s="534"/>
      <c r="B47" s="535"/>
      <c r="C47" s="535"/>
      <c r="D47" s="10" t="s">
        <v>5</v>
      </c>
      <c r="E47" s="14">
        <v>0</v>
      </c>
    </row>
    <row r="48" spans="1:5" outlineLevel="2" x14ac:dyDescent="0.25">
      <c r="A48" s="534"/>
      <c r="B48" s="535"/>
      <c r="C48" s="535"/>
      <c r="D48" s="10" t="s">
        <v>6</v>
      </c>
      <c r="E48" s="14">
        <v>0</v>
      </c>
    </row>
    <row r="49" spans="1:5" outlineLevel="2" x14ac:dyDescent="0.25">
      <c r="A49" s="534"/>
      <c r="B49" s="535"/>
      <c r="C49" s="535"/>
      <c r="D49" s="10" t="s">
        <v>7</v>
      </c>
      <c r="E49" s="14">
        <v>0</v>
      </c>
    </row>
    <row r="50" spans="1:5" outlineLevel="2" x14ac:dyDescent="0.25">
      <c r="A50" s="534"/>
      <c r="B50" s="535"/>
      <c r="C50" s="535"/>
      <c r="D50" s="10" t="s">
        <v>8</v>
      </c>
      <c r="E50" s="14">
        <v>0</v>
      </c>
    </row>
    <row r="51" spans="1:5" outlineLevel="2" x14ac:dyDescent="0.25">
      <c r="A51" s="534"/>
      <c r="B51" s="535"/>
      <c r="C51" s="535"/>
      <c r="D51" s="10" t="s">
        <v>9</v>
      </c>
      <c r="E51" s="14">
        <v>0</v>
      </c>
    </row>
    <row r="52" spans="1:5" outlineLevel="2" x14ac:dyDescent="0.25">
      <c r="A52" s="534"/>
      <c r="B52" s="535"/>
      <c r="C52" s="535"/>
      <c r="D52" s="10" t="s">
        <v>10</v>
      </c>
      <c r="E52" s="14">
        <v>0</v>
      </c>
    </row>
    <row r="53" spans="1:5" outlineLevel="2" x14ac:dyDescent="0.25">
      <c r="A53" s="534"/>
      <c r="B53" s="535"/>
      <c r="C53" s="535"/>
      <c r="D53" s="10" t="s">
        <v>11</v>
      </c>
      <c r="E53" s="14">
        <v>0</v>
      </c>
    </row>
    <row r="54" spans="1:5" outlineLevel="2" x14ac:dyDescent="0.25">
      <c r="A54" s="534"/>
      <c r="B54" s="535"/>
      <c r="C54" s="535"/>
      <c r="D54" s="10" t="s">
        <v>12</v>
      </c>
      <c r="E54" s="14">
        <v>0</v>
      </c>
    </row>
    <row r="55" spans="1:5" ht="15.75" outlineLevel="2" thickBot="1" x14ac:dyDescent="0.3">
      <c r="A55" s="534"/>
      <c r="B55" s="535"/>
      <c r="C55" s="535"/>
      <c r="D55" s="11" t="s">
        <v>13</v>
      </c>
      <c r="E55" s="15">
        <v>0</v>
      </c>
    </row>
    <row r="56" spans="1:5" outlineLevel="2" x14ac:dyDescent="0.25">
      <c r="A56" s="534" t="s">
        <v>50</v>
      </c>
      <c r="B56" s="535" t="s">
        <v>51</v>
      </c>
      <c r="C56" s="535"/>
      <c r="D56" s="9" t="s">
        <v>4</v>
      </c>
      <c r="E56" s="14">
        <v>0</v>
      </c>
    </row>
    <row r="57" spans="1:5" outlineLevel="2" x14ac:dyDescent="0.25">
      <c r="A57" s="534"/>
      <c r="B57" s="535"/>
      <c r="C57" s="535"/>
      <c r="D57" s="10" t="s">
        <v>5</v>
      </c>
      <c r="E57" s="14">
        <v>0</v>
      </c>
    </row>
    <row r="58" spans="1:5" outlineLevel="2" x14ac:dyDescent="0.25">
      <c r="A58" s="534"/>
      <c r="B58" s="535"/>
      <c r="C58" s="535"/>
      <c r="D58" s="10" t="s">
        <v>6</v>
      </c>
      <c r="E58" s="14">
        <v>0</v>
      </c>
    </row>
    <row r="59" spans="1:5" outlineLevel="2" x14ac:dyDescent="0.25">
      <c r="A59" s="534"/>
      <c r="B59" s="535"/>
      <c r="C59" s="535"/>
      <c r="D59" s="10" t="s">
        <v>7</v>
      </c>
      <c r="E59" s="14">
        <v>0</v>
      </c>
    </row>
    <row r="60" spans="1:5" outlineLevel="2" x14ac:dyDescent="0.25">
      <c r="A60" s="534"/>
      <c r="B60" s="535"/>
      <c r="C60" s="535"/>
      <c r="D60" s="10" t="s">
        <v>8</v>
      </c>
      <c r="E60" s="14">
        <v>0</v>
      </c>
    </row>
    <row r="61" spans="1:5" outlineLevel="2" x14ac:dyDescent="0.25">
      <c r="A61" s="534"/>
      <c r="B61" s="535"/>
      <c r="C61" s="535"/>
      <c r="D61" s="10" t="s">
        <v>9</v>
      </c>
      <c r="E61" s="14">
        <v>0</v>
      </c>
    </row>
    <row r="62" spans="1:5" outlineLevel="2" x14ac:dyDescent="0.25">
      <c r="A62" s="534"/>
      <c r="B62" s="535"/>
      <c r="C62" s="535"/>
      <c r="D62" s="10" t="s">
        <v>10</v>
      </c>
      <c r="E62" s="14">
        <v>0</v>
      </c>
    </row>
    <row r="63" spans="1:5" outlineLevel="2" x14ac:dyDescent="0.25">
      <c r="A63" s="534"/>
      <c r="B63" s="535"/>
      <c r="C63" s="535"/>
      <c r="D63" s="10" t="s">
        <v>11</v>
      </c>
      <c r="E63" s="14">
        <v>0</v>
      </c>
    </row>
    <row r="64" spans="1:5" outlineLevel="2" x14ac:dyDescent="0.25">
      <c r="A64" s="534"/>
      <c r="B64" s="535"/>
      <c r="C64" s="535"/>
      <c r="D64" s="10" t="s">
        <v>12</v>
      </c>
      <c r="E64" s="14">
        <v>0</v>
      </c>
    </row>
    <row r="65" spans="1:5" ht="15.75" outlineLevel="2" thickBot="1" x14ac:dyDescent="0.3">
      <c r="A65" s="534"/>
      <c r="B65" s="535"/>
      <c r="C65" s="535"/>
      <c r="D65" s="11" t="s">
        <v>13</v>
      </c>
      <c r="E65" s="15">
        <v>0</v>
      </c>
    </row>
    <row r="66" spans="1:5" outlineLevel="2" x14ac:dyDescent="0.25">
      <c r="A66" s="534" t="s">
        <v>41</v>
      </c>
      <c r="B66" s="535" t="s">
        <v>42</v>
      </c>
      <c r="C66" s="535">
        <v>637001</v>
      </c>
      <c r="D66" s="9" t="s">
        <v>4</v>
      </c>
      <c r="E66" s="14">
        <v>0</v>
      </c>
    </row>
    <row r="67" spans="1:5" outlineLevel="2" x14ac:dyDescent="0.25">
      <c r="A67" s="534"/>
      <c r="B67" s="535"/>
      <c r="C67" s="535"/>
      <c r="D67" s="10" t="s">
        <v>5</v>
      </c>
      <c r="E67" s="14">
        <v>0</v>
      </c>
    </row>
    <row r="68" spans="1:5" outlineLevel="2" x14ac:dyDescent="0.25">
      <c r="A68" s="534"/>
      <c r="B68" s="535"/>
      <c r="C68" s="535"/>
      <c r="D68" s="10" t="s">
        <v>6</v>
      </c>
      <c r="E68" s="14">
        <v>0</v>
      </c>
    </row>
    <row r="69" spans="1:5" outlineLevel="2" x14ac:dyDescent="0.25">
      <c r="A69" s="534"/>
      <c r="B69" s="535"/>
      <c r="C69" s="535"/>
      <c r="D69" s="10" t="s">
        <v>7</v>
      </c>
      <c r="E69" s="14">
        <v>0</v>
      </c>
    </row>
    <row r="70" spans="1:5" outlineLevel="2" x14ac:dyDescent="0.25">
      <c r="A70" s="534"/>
      <c r="B70" s="535"/>
      <c r="C70" s="535"/>
      <c r="D70" s="10" t="s">
        <v>8</v>
      </c>
      <c r="E70" s="14">
        <v>0</v>
      </c>
    </row>
    <row r="71" spans="1:5" outlineLevel="2" x14ac:dyDescent="0.25">
      <c r="A71" s="534"/>
      <c r="B71" s="535"/>
      <c r="C71" s="535"/>
      <c r="D71" s="10" t="s">
        <v>9</v>
      </c>
      <c r="E71" s="14">
        <v>0</v>
      </c>
    </row>
    <row r="72" spans="1:5" outlineLevel="2" x14ac:dyDescent="0.25">
      <c r="A72" s="534"/>
      <c r="B72" s="535"/>
      <c r="C72" s="535"/>
      <c r="D72" s="10" t="s">
        <v>10</v>
      </c>
      <c r="E72" s="14">
        <v>0</v>
      </c>
    </row>
    <row r="73" spans="1:5" outlineLevel="2" x14ac:dyDescent="0.25">
      <c r="A73" s="534"/>
      <c r="B73" s="535"/>
      <c r="C73" s="535"/>
      <c r="D73" s="10" t="s">
        <v>11</v>
      </c>
      <c r="E73" s="14">
        <v>0</v>
      </c>
    </row>
    <row r="74" spans="1:5" outlineLevel="2" x14ac:dyDescent="0.25">
      <c r="A74" s="534"/>
      <c r="B74" s="535"/>
      <c r="C74" s="535"/>
      <c r="D74" s="10" t="s">
        <v>12</v>
      </c>
      <c r="E74" s="14">
        <v>0</v>
      </c>
    </row>
    <row r="75" spans="1:5" ht="15.75" outlineLevel="2" thickBot="1" x14ac:dyDescent="0.3">
      <c r="A75" s="534"/>
      <c r="B75" s="535"/>
      <c r="C75" s="535"/>
      <c r="D75" s="11" t="s">
        <v>13</v>
      </c>
      <c r="E75" s="15">
        <v>0</v>
      </c>
    </row>
  </sheetData>
  <mergeCells count="23">
    <mergeCell ref="A1:D1"/>
    <mergeCell ref="A3:C3"/>
    <mergeCell ref="A5:A14"/>
    <mergeCell ref="B5:B14"/>
    <mergeCell ref="C5:C14"/>
    <mergeCell ref="A15:A24"/>
    <mergeCell ref="B15:B24"/>
    <mergeCell ref="C15:C24"/>
    <mergeCell ref="A26:A35"/>
    <mergeCell ref="B26:B35"/>
    <mergeCell ref="C26:C35"/>
    <mergeCell ref="A36:A45"/>
    <mergeCell ref="B36:B45"/>
    <mergeCell ref="C36:C45"/>
    <mergeCell ref="A46:A55"/>
    <mergeCell ref="B46:B55"/>
    <mergeCell ref="C46:C55"/>
    <mergeCell ref="A56:A65"/>
    <mergeCell ref="B56:B65"/>
    <mergeCell ref="C56:C65"/>
    <mergeCell ref="A66:A75"/>
    <mergeCell ref="B66:B75"/>
    <mergeCell ref="C66:C75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CC"/>
    <outlinePr summaryBelow="0" summaryRight="0"/>
  </sheetPr>
  <dimension ref="A1:E53"/>
  <sheetViews>
    <sheetView view="pageBreakPreview" zoomScale="60" zoomScaleNormal="85" workbookViewId="0">
      <selection sqref="A1:Y1"/>
    </sheetView>
  </sheetViews>
  <sheetFormatPr defaultColWidth="8.85546875" defaultRowHeight="15" outlineLevelRow="1" x14ac:dyDescent="0.25"/>
  <cols>
    <col min="1" max="1" width="22.42578125" customWidth="1"/>
    <col min="2" max="2" width="23.28515625" customWidth="1"/>
    <col min="3" max="3" width="22.42578125" customWidth="1"/>
    <col min="5" max="5" width="17.85546875" customWidth="1"/>
  </cols>
  <sheetData>
    <row r="1" spans="1:5" ht="25.35" customHeight="1" thickBot="1" x14ac:dyDescent="0.4">
      <c r="A1" s="536" t="s">
        <v>62</v>
      </c>
      <c r="B1" s="536"/>
      <c r="C1" s="536"/>
      <c r="D1" s="537"/>
      <c r="E1" s="12" t="s">
        <v>14</v>
      </c>
    </row>
    <row r="2" spans="1:5" ht="15.75" thickBot="1" x14ac:dyDescent="0.3">
      <c r="A2" s="5" t="s">
        <v>0</v>
      </c>
      <c r="B2" s="17" t="s">
        <v>39</v>
      </c>
      <c r="C2" s="17" t="s">
        <v>38</v>
      </c>
      <c r="D2" s="17" t="s">
        <v>3</v>
      </c>
      <c r="E2" s="1"/>
    </row>
    <row r="3" spans="1:5" ht="15.75" thickBot="1" x14ac:dyDescent="0.3">
      <c r="A3" s="540" t="s">
        <v>53</v>
      </c>
      <c r="B3" s="540"/>
      <c r="C3" s="540"/>
      <c r="D3" s="18"/>
      <c r="E3" s="19">
        <f>SUM(E4:E53)</f>
        <v>0</v>
      </c>
    </row>
    <row r="4" spans="1:5" outlineLevel="1" x14ac:dyDescent="0.25">
      <c r="A4" s="534" t="s">
        <v>58</v>
      </c>
      <c r="B4" s="535" t="s">
        <v>45</v>
      </c>
      <c r="C4" s="535">
        <v>635002</v>
      </c>
      <c r="D4" s="9" t="s">
        <v>4</v>
      </c>
      <c r="E4" s="13">
        <v>0</v>
      </c>
    </row>
    <row r="5" spans="1:5" outlineLevel="1" x14ac:dyDescent="0.25">
      <c r="A5" s="534"/>
      <c r="B5" s="535"/>
      <c r="C5" s="535"/>
      <c r="D5" s="10" t="s">
        <v>5</v>
      </c>
      <c r="E5" s="14">
        <v>0</v>
      </c>
    </row>
    <row r="6" spans="1:5" outlineLevel="1" x14ac:dyDescent="0.25">
      <c r="A6" s="534"/>
      <c r="B6" s="535"/>
      <c r="C6" s="535"/>
      <c r="D6" s="10" t="s">
        <v>6</v>
      </c>
      <c r="E6" s="14">
        <v>0</v>
      </c>
    </row>
    <row r="7" spans="1:5" outlineLevel="1" x14ac:dyDescent="0.25">
      <c r="A7" s="534"/>
      <c r="B7" s="535"/>
      <c r="C7" s="535"/>
      <c r="D7" s="10" t="s">
        <v>7</v>
      </c>
      <c r="E7" s="14">
        <v>0</v>
      </c>
    </row>
    <row r="8" spans="1:5" outlineLevel="1" x14ac:dyDescent="0.25">
      <c r="A8" s="534"/>
      <c r="B8" s="535"/>
      <c r="C8" s="535"/>
      <c r="D8" s="10" t="s">
        <v>8</v>
      </c>
      <c r="E8" s="14">
        <v>0</v>
      </c>
    </row>
    <row r="9" spans="1:5" outlineLevel="1" x14ac:dyDescent="0.25">
      <c r="A9" s="534"/>
      <c r="B9" s="535"/>
      <c r="C9" s="535"/>
      <c r="D9" s="10" t="s">
        <v>9</v>
      </c>
      <c r="E9" s="14">
        <v>0</v>
      </c>
    </row>
    <row r="10" spans="1:5" outlineLevel="1" x14ac:dyDescent="0.25">
      <c r="A10" s="534"/>
      <c r="B10" s="535"/>
      <c r="C10" s="535"/>
      <c r="D10" s="10" t="s">
        <v>10</v>
      </c>
      <c r="E10" s="14">
        <v>0</v>
      </c>
    </row>
    <row r="11" spans="1:5" outlineLevel="1" x14ac:dyDescent="0.25">
      <c r="A11" s="534"/>
      <c r="B11" s="535"/>
      <c r="C11" s="535"/>
      <c r="D11" s="10" t="s">
        <v>11</v>
      </c>
      <c r="E11" s="14">
        <v>0</v>
      </c>
    </row>
    <row r="12" spans="1:5" outlineLevel="1" x14ac:dyDescent="0.25">
      <c r="A12" s="534"/>
      <c r="B12" s="535"/>
      <c r="C12" s="535"/>
      <c r="D12" s="10" t="s">
        <v>12</v>
      </c>
      <c r="E12" s="14">
        <v>0</v>
      </c>
    </row>
    <row r="13" spans="1:5" ht="15.75" outlineLevel="1" thickBot="1" x14ac:dyDescent="0.3">
      <c r="A13" s="534"/>
      <c r="B13" s="535"/>
      <c r="C13" s="535"/>
      <c r="D13" s="11" t="s">
        <v>13</v>
      </c>
      <c r="E13" s="15">
        <v>0</v>
      </c>
    </row>
    <row r="14" spans="1:5" outlineLevel="1" x14ac:dyDescent="0.25">
      <c r="A14" s="534" t="s">
        <v>59</v>
      </c>
      <c r="B14" s="534" t="s">
        <v>57</v>
      </c>
      <c r="C14" s="535">
        <v>718002</v>
      </c>
      <c r="D14" s="9" t="s">
        <v>4</v>
      </c>
      <c r="E14" s="14">
        <v>0</v>
      </c>
    </row>
    <row r="15" spans="1:5" outlineLevel="1" x14ac:dyDescent="0.25">
      <c r="A15" s="534"/>
      <c r="B15" s="535"/>
      <c r="C15" s="535"/>
      <c r="D15" s="10" t="s">
        <v>5</v>
      </c>
      <c r="E15" s="14">
        <v>0</v>
      </c>
    </row>
    <row r="16" spans="1:5" outlineLevel="1" x14ac:dyDescent="0.25">
      <c r="A16" s="534"/>
      <c r="B16" s="535"/>
      <c r="C16" s="535"/>
      <c r="D16" s="10" t="s">
        <v>6</v>
      </c>
      <c r="E16" s="14">
        <v>0</v>
      </c>
    </row>
    <row r="17" spans="1:5" outlineLevel="1" x14ac:dyDescent="0.25">
      <c r="A17" s="534"/>
      <c r="B17" s="535"/>
      <c r="C17" s="535"/>
      <c r="D17" s="10" t="s">
        <v>7</v>
      </c>
      <c r="E17" s="14">
        <v>0</v>
      </c>
    </row>
    <row r="18" spans="1:5" outlineLevel="1" x14ac:dyDescent="0.25">
      <c r="A18" s="534"/>
      <c r="B18" s="535"/>
      <c r="C18" s="535"/>
      <c r="D18" s="10" t="s">
        <v>8</v>
      </c>
      <c r="E18" s="14">
        <v>0</v>
      </c>
    </row>
    <row r="19" spans="1:5" outlineLevel="1" x14ac:dyDescent="0.25">
      <c r="A19" s="534"/>
      <c r="B19" s="535"/>
      <c r="C19" s="535"/>
      <c r="D19" s="10" t="s">
        <v>9</v>
      </c>
      <c r="E19" s="14">
        <v>0</v>
      </c>
    </row>
    <row r="20" spans="1:5" outlineLevel="1" x14ac:dyDescent="0.25">
      <c r="A20" s="534"/>
      <c r="B20" s="535"/>
      <c r="C20" s="535"/>
      <c r="D20" s="10" t="s">
        <v>10</v>
      </c>
      <c r="E20" s="14">
        <v>0</v>
      </c>
    </row>
    <row r="21" spans="1:5" outlineLevel="1" x14ac:dyDescent="0.25">
      <c r="A21" s="534"/>
      <c r="B21" s="535"/>
      <c r="C21" s="535"/>
      <c r="D21" s="10" t="s">
        <v>11</v>
      </c>
      <c r="E21" s="14">
        <v>0</v>
      </c>
    </row>
    <row r="22" spans="1:5" outlineLevel="1" x14ac:dyDescent="0.25">
      <c r="A22" s="534"/>
      <c r="B22" s="535"/>
      <c r="C22" s="535"/>
      <c r="D22" s="10" t="s">
        <v>12</v>
      </c>
      <c r="E22" s="14">
        <v>0</v>
      </c>
    </row>
    <row r="23" spans="1:5" ht="15.75" outlineLevel="1" thickBot="1" x14ac:dyDescent="0.3">
      <c r="A23" s="534"/>
      <c r="B23" s="535"/>
      <c r="C23" s="535"/>
      <c r="D23" s="11" t="s">
        <v>13</v>
      </c>
      <c r="E23" s="15">
        <v>0</v>
      </c>
    </row>
    <row r="24" spans="1:5" outlineLevel="1" x14ac:dyDescent="0.25">
      <c r="A24" s="534" t="s">
        <v>60</v>
      </c>
      <c r="B24" s="535"/>
      <c r="C24" s="535"/>
      <c r="D24" s="9" t="s">
        <v>4</v>
      </c>
      <c r="E24" s="14">
        <v>0</v>
      </c>
    </row>
    <row r="25" spans="1:5" outlineLevel="1" x14ac:dyDescent="0.25">
      <c r="A25" s="534"/>
      <c r="B25" s="535"/>
      <c r="C25" s="535"/>
      <c r="D25" s="10" t="s">
        <v>5</v>
      </c>
      <c r="E25" s="14">
        <v>0</v>
      </c>
    </row>
    <row r="26" spans="1:5" outlineLevel="1" x14ac:dyDescent="0.25">
      <c r="A26" s="534"/>
      <c r="B26" s="535"/>
      <c r="C26" s="535"/>
      <c r="D26" s="10" t="s">
        <v>6</v>
      </c>
      <c r="E26" s="14">
        <v>0</v>
      </c>
    </row>
    <row r="27" spans="1:5" outlineLevel="1" x14ac:dyDescent="0.25">
      <c r="A27" s="534"/>
      <c r="B27" s="535"/>
      <c r="C27" s="535"/>
      <c r="D27" s="10" t="s">
        <v>7</v>
      </c>
      <c r="E27" s="14">
        <v>0</v>
      </c>
    </row>
    <row r="28" spans="1:5" outlineLevel="1" x14ac:dyDescent="0.25">
      <c r="A28" s="534"/>
      <c r="B28" s="535"/>
      <c r="C28" s="535"/>
      <c r="D28" s="10" t="s">
        <v>8</v>
      </c>
      <c r="E28" s="14">
        <v>0</v>
      </c>
    </row>
    <row r="29" spans="1:5" outlineLevel="1" x14ac:dyDescent="0.25">
      <c r="A29" s="534"/>
      <c r="B29" s="535"/>
      <c r="C29" s="535"/>
      <c r="D29" s="10" t="s">
        <v>9</v>
      </c>
      <c r="E29" s="14">
        <v>0</v>
      </c>
    </row>
    <row r="30" spans="1:5" outlineLevel="1" x14ac:dyDescent="0.25">
      <c r="A30" s="534"/>
      <c r="B30" s="535"/>
      <c r="C30" s="535"/>
      <c r="D30" s="10" t="s">
        <v>10</v>
      </c>
      <c r="E30" s="14">
        <v>0</v>
      </c>
    </row>
    <row r="31" spans="1:5" outlineLevel="1" x14ac:dyDescent="0.25">
      <c r="A31" s="534"/>
      <c r="B31" s="535"/>
      <c r="C31" s="535"/>
      <c r="D31" s="10" t="s">
        <v>11</v>
      </c>
      <c r="E31" s="14">
        <v>0</v>
      </c>
    </row>
    <row r="32" spans="1:5" outlineLevel="1" x14ac:dyDescent="0.25">
      <c r="A32" s="534"/>
      <c r="B32" s="535"/>
      <c r="C32" s="535"/>
      <c r="D32" s="10" t="s">
        <v>12</v>
      </c>
      <c r="E32" s="14">
        <v>0</v>
      </c>
    </row>
    <row r="33" spans="1:5" ht="15.75" outlineLevel="1" thickBot="1" x14ac:dyDescent="0.3">
      <c r="A33" s="534"/>
      <c r="B33" s="535"/>
      <c r="C33" s="535"/>
      <c r="D33" s="11" t="s">
        <v>13</v>
      </c>
      <c r="E33" s="15">
        <v>0</v>
      </c>
    </row>
    <row r="34" spans="1:5" outlineLevel="1" x14ac:dyDescent="0.25">
      <c r="A34" s="534" t="s">
        <v>61</v>
      </c>
      <c r="B34" s="535"/>
      <c r="C34" s="535"/>
      <c r="D34" s="9" t="s">
        <v>4</v>
      </c>
      <c r="E34" s="14">
        <v>0</v>
      </c>
    </row>
    <row r="35" spans="1:5" outlineLevel="1" x14ac:dyDescent="0.25">
      <c r="A35" s="534"/>
      <c r="B35" s="535"/>
      <c r="C35" s="535"/>
      <c r="D35" s="10" t="s">
        <v>5</v>
      </c>
      <c r="E35" s="14">
        <v>0</v>
      </c>
    </row>
    <row r="36" spans="1:5" outlineLevel="1" x14ac:dyDescent="0.25">
      <c r="A36" s="534"/>
      <c r="B36" s="535"/>
      <c r="C36" s="535"/>
      <c r="D36" s="10" t="s">
        <v>6</v>
      </c>
      <c r="E36" s="14">
        <v>0</v>
      </c>
    </row>
    <row r="37" spans="1:5" outlineLevel="1" x14ac:dyDescent="0.25">
      <c r="A37" s="534"/>
      <c r="B37" s="535"/>
      <c r="C37" s="535"/>
      <c r="D37" s="10" t="s">
        <v>7</v>
      </c>
      <c r="E37" s="14">
        <v>0</v>
      </c>
    </row>
    <row r="38" spans="1:5" outlineLevel="1" x14ac:dyDescent="0.25">
      <c r="A38" s="534"/>
      <c r="B38" s="535"/>
      <c r="C38" s="535"/>
      <c r="D38" s="10" t="s">
        <v>8</v>
      </c>
      <c r="E38" s="14">
        <v>0</v>
      </c>
    </row>
    <row r="39" spans="1:5" outlineLevel="1" x14ac:dyDescent="0.25">
      <c r="A39" s="534"/>
      <c r="B39" s="535"/>
      <c r="C39" s="535"/>
      <c r="D39" s="10" t="s">
        <v>9</v>
      </c>
      <c r="E39" s="14">
        <v>0</v>
      </c>
    </row>
    <row r="40" spans="1:5" outlineLevel="1" x14ac:dyDescent="0.25">
      <c r="A40" s="534"/>
      <c r="B40" s="535"/>
      <c r="C40" s="535"/>
      <c r="D40" s="10" t="s">
        <v>10</v>
      </c>
      <c r="E40" s="14">
        <v>0</v>
      </c>
    </row>
    <row r="41" spans="1:5" outlineLevel="1" x14ac:dyDescent="0.25">
      <c r="A41" s="534"/>
      <c r="B41" s="535"/>
      <c r="C41" s="535"/>
      <c r="D41" s="10" t="s">
        <v>11</v>
      </c>
      <c r="E41" s="14">
        <v>0</v>
      </c>
    </row>
    <row r="42" spans="1:5" outlineLevel="1" x14ac:dyDescent="0.25">
      <c r="A42" s="534"/>
      <c r="B42" s="535"/>
      <c r="C42" s="535"/>
      <c r="D42" s="10" t="s">
        <v>12</v>
      </c>
      <c r="E42" s="14">
        <v>0</v>
      </c>
    </row>
    <row r="43" spans="1:5" ht="15.75" outlineLevel="1" thickBot="1" x14ac:dyDescent="0.3">
      <c r="A43" s="534"/>
      <c r="B43" s="535"/>
      <c r="C43" s="535"/>
      <c r="D43" s="11" t="s">
        <v>13</v>
      </c>
      <c r="E43" s="15">
        <v>0</v>
      </c>
    </row>
    <row r="44" spans="1:5" outlineLevel="1" x14ac:dyDescent="0.25">
      <c r="A44" s="534" t="s">
        <v>56</v>
      </c>
      <c r="B44" s="535" t="s">
        <v>42</v>
      </c>
      <c r="C44" s="535">
        <v>637001</v>
      </c>
      <c r="D44" s="9" t="s">
        <v>4</v>
      </c>
      <c r="E44" s="14">
        <v>0</v>
      </c>
    </row>
    <row r="45" spans="1:5" outlineLevel="1" x14ac:dyDescent="0.25">
      <c r="A45" s="534"/>
      <c r="B45" s="535"/>
      <c r="C45" s="535"/>
      <c r="D45" s="10" t="s">
        <v>5</v>
      </c>
      <c r="E45" s="14">
        <v>0</v>
      </c>
    </row>
    <row r="46" spans="1:5" outlineLevel="1" x14ac:dyDescent="0.25">
      <c r="A46" s="534"/>
      <c r="B46" s="535"/>
      <c r="C46" s="535"/>
      <c r="D46" s="10" t="s">
        <v>6</v>
      </c>
      <c r="E46" s="14">
        <v>0</v>
      </c>
    </row>
    <row r="47" spans="1:5" outlineLevel="1" x14ac:dyDescent="0.25">
      <c r="A47" s="534"/>
      <c r="B47" s="535"/>
      <c r="C47" s="535"/>
      <c r="D47" s="10" t="s">
        <v>7</v>
      </c>
      <c r="E47" s="14">
        <v>0</v>
      </c>
    </row>
    <row r="48" spans="1:5" outlineLevel="1" x14ac:dyDescent="0.25">
      <c r="A48" s="534"/>
      <c r="B48" s="535"/>
      <c r="C48" s="535"/>
      <c r="D48" s="10" t="s">
        <v>8</v>
      </c>
      <c r="E48" s="14">
        <v>0</v>
      </c>
    </row>
    <row r="49" spans="1:5" outlineLevel="1" x14ac:dyDescent="0.25">
      <c r="A49" s="534"/>
      <c r="B49" s="535"/>
      <c r="C49" s="535"/>
      <c r="D49" s="10" t="s">
        <v>9</v>
      </c>
      <c r="E49" s="14">
        <v>0</v>
      </c>
    </row>
    <row r="50" spans="1:5" outlineLevel="1" x14ac:dyDescent="0.25">
      <c r="A50" s="534"/>
      <c r="B50" s="535"/>
      <c r="C50" s="535"/>
      <c r="D50" s="10" t="s">
        <v>10</v>
      </c>
      <c r="E50" s="14">
        <v>0</v>
      </c>
    </row>
    <row r="51" spans="1:5" outlineLevel="1" x14ac:dyDescent="0.25">
      <c r="A51" s="534"/>
      <c r="B51" s="535"/>
      <c r="C51" s="535"/>
      <c r="D51" s="10" t="s">
        <v>11</v>
      </c>
      <c r="E51" s="14">
        <v>0</v>
      </c>
    </row>
    <row r="52" spans="1:5" outlineLevel="1" x14ac:dyDescent="0.25">
      <c r="A52" s="534"/>
      <c r="B52" s="535"/>
      <c r="C52" s="535"/>
      <c r="D52" s="10" t="s">
        <v>12</v>
      </c>
      <c r="E52" s="14">
        <v>0</v>
      </c>
    </row>
    <row r="53" spans="1:5" ht="15.75" outlineLevel="1" thickBot="1" x14ac:dyDescent="0.3">
      <c r="A53" s="534"/>
      <c r="B53" s="535"/>
      <c r="C53" s="535"/>
      <c r="D53" s="11" t="s">
        <v>13</v>
      </c>
      <c r="E53" s="15">
        <v>0</v>
      </c>
    </row>
  </sheetData>
  <mergeCells count="17">
    <mergeCell ref="A1:D1"/>
    <mergeCell ref="A3:C3"/>
    <mergeCell ref="A4:A13"/>
    <mergeCell ref="B4:B13"/>
    <mergeCell ref="C4:C13"/>
    <mergeCell ref="A14:A23"/>
    <mergeCell ref="B14:B23"/>
    <mergeCell ref="C14:C23"/>
    <mergeCell ref="A24:A33"/>
    <mergeCell ref="B24:B33"/>
    <mergeCell ref="C24:C33"/>
    <mergeCell ref="A34:A43"/>
    <mergeCell ref="B34:B43"/>
    <mergeCell ref="C34:C43"/>
    <mergeCell ref="A44:A53"/>
    <mergeCell ref="B44:B53"/>
    <mergeCell ref="C44:C53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CC"/>
    <outlinePr summaryBelow="0" summaryRight="0"/>
  </sheetPr>
  <dimension ref="A1:L170"/>
  <sheetViews>
    <sheetView view="pageBreakPreview" zoomScale="90" zoomScaleNormal="85" zoomScaleSheetLayoutView="90" workbookViewId="0">
      <selection activeCell="J1" sqref="J1"/>
    </sheetView>
  </sheetViews>
  <sheetFormatPr defaultColWidth="8.85546875" defaultRowHeight="15" outlineLevelRow="2" outlineLevelCol="1" x14ac:dyDescent="0.25"/>
  <cols>
    <col min="1" max="1" width="22.42578125" customWidth="1"/>
    <col min="2" max="2" width="23.28515625" customWidth="1"/>
    <col min="3" max="3" width="22.42578125" customWidth="1"/>
    <col min="5" max="5" width="17.85546875" customWidth="1"/>
    <col min="6" max="9" width="19.28515625" customWidth="1" outlineLevel="1"/>
    <col min="10" max="10" width="22.140625" customWidth="1" outlineLevel="1"/>
    <col min="11" max="11" width="32.7109375" customWidth="1"/>
    <col min="12" max="12" width="10.5703125" customWidth="1"/>
  </cols>
  <sheetData>
    <row r="1" spans="1:10" ht="36.75" customHeight="1" thickBot="1" x14ac:dyDescent="0.4">
      <c r="A1" s="536" t="s">
        <v>63</v>
      </c>
      <c r="B1" s="536"/>
      <c r="C1" s="536"/>
      <c r="D1" s="537"/>
      <c r="E1" s="12" t="s">
        <v>14</v>
      </c>
      <c r="F1" s="257" t="s">
        <v>235</v>
      </c>
      <c r="G1" s="257" t="s">
        <v>236</v>
      </c>
      <c r="H1" s="257" t="s">
        <v>342</v>
      </c>
      <c r="I1" s="257" t="s">
        <v>238</v>
      </c>
      <c r="J1" s="257" t="s">
        <v>467</v>
      </c>
    </row>
    <row r="2" spans="1:10" ht="15.75" thickBot="1" x14ac:dyDescent="0.3">
      <c r="A2" s="5" t="s">
        <v>0</v>
      </c>
      <c r="B2" s="17" t="s">
        <v>39</v>
      </c>
      <c r="C2" s="17" t="s">
        <v>38</v>
      </c>
      <c r="D2" s="17" t="s">
        <v>3</v>
      </c>
      <c r="E2" s="1"/>
      <c r="F2" s="1"/>
      <c r="G2" s="1"/>
      <c r="H2" s="1"/>
      <c r="I2" s="1"/>
      <c r="J2" s="1"/>
    </row>
    <row r="3" spans="1:10" ht="15.75" thickBot="1" x14ac:dyDescent="0.3">
      <c r="A3" s="541" t="s">
        <v>82</v>
      </c>
      <c r="B3" s="542"/>
      <c r="C3" s="542"/>
      <c r="D3" s="22"/>
      <c r="E3" s="19">
        <f t="shared" ref="E3:I3" si="0">E4+E25</f>
        <v>463776.84683076915</v>
      </c>
      <c r="F3" s="20">
        <f t="shared" si="0"/>
        <v>8885.293846153847</v>
      </c>
      <c r="G3" s="20">
        <f t="shared" si="0"/>
        <v>339511.62646153843</v>
      </c>
      <c r="H3" s="147">
        <f t="shared" si="0"/>
        <v>91520.372676923085</v>
      </c>
      <c r="I3" s="147">
        <f t="shared" si="0"/>
        <v>23859.553846153849</v>
      </c>
      <c r="J3" s="21">
        <f t="shared" ref="J3" si="1">J4+J25</f>
        <v>0</v>
      </c>
    </row>
    <row r="4" spans="1:10" ht="15.75" outlineLevel="1" thickBot="1" x14ac:dyDescent="0.3">
      <c r="A4" s="1" t="s">
        <v>70</v>
      </c>
      <c r="B4" s="1"/>
      <c r="C4" s="1"/>
      <c r="D4" s="2"/>
      <c r="E4" s="19">
        <f t="shared" ref="E4:I4" si="2">SUM(E5:E24)</f>
        <v>0</v>
      </c>
      <c r="F4" s="20">
        <f t="shared" si="2"/>
        <v>0</v>
      </c>
      <c r="G4" s="20">
        <f t="shared" si="2"/>
        <v>0</v>
      </c>
      <c r="H4" s="147">
        <f t="shared" si="2"/>
        <v>0</v>
      </c>
      <c r="I4" s="147">
        <f t="shared" si="2"/>
        <v>0</v>
      </c>
      <c r="J4" s="21">
        <f t="shared" ref="J4" si="3">SUM(J5:J24)</f>
        <v>0</v>
      </c>
    </row>
    <row r="5" spans="1:10" outlineLevel="2" x14ac:dyDescent="0.25">
      <c r="A5" s="534" t="s">
        <v>36</v>
      </c>
      <c r="B5" s="535" t="s">
        <v>37</v>
      </c>
      <c r="C5" s="535">
        <v>711003</v>
      </c>
      <c r="D5" s="9" t="s">
        <v>4</v>
      </c>
      <c r="E5" s="6">
        <f t="shared" ref="E5:E24" si="4">SUM(F5:J5)</f>
        <v>0</v>
      </c>
      <c r="F5" s="67">
        <v>0</v>
      </c>
      <c r="G5" s="68">
        <v>0</v>
      </c>
      <c r="H5" s="148">
        <v>0</v>
      </c>
      <c r="I5" s="148">
        <v>0</v>
      </c>
      <c r="J5" s="73">
        <v>0</v>
      </c>
    </row>
    <row r="6" spans="1:10" outlineLevel="2" x14ac:dyDescent="0.25">
      <c r="A6" s="534"/>
      <c r="B6" s="535"/>
      <c r="C6" s="535"/>
      <c r="D6" s="10" t="s">
        <v>5</v>
      </c>
      <c r="E6" s="7">
        <f t="shared" si="4"/>
        <v>0</v>
      </c>
      <c r="F6" s="69">
        <v>0</v>
      </c>
      <c r="G6" s="70">
        <v>0</v>
      </c>
      <c r="H6" s="149">
        <v>0</v>
      </c>
      <c r="I6" s="149">
        <v>0</v>
      </c>
      <c r="J6" s="74">
        <v>0</v>
      </c>
    </row>
    <row r="7" spans="1:10" outlineLevel="2" x14ac:dyDescent="0.25">
      <c r="A7" s="534"/>
      <c r="B7" s="535"/>
      <c r="C7" s="535"/>
      <c r="D7" s="10" t="s">
        <v>6</v>
      </c>
      <c r="E7" s="7">
        <f t="shared" si="4"/>
        <v>0</v>
      </c>
      <c r="F7" s="69">
        <v>0</v>
      </c>
      <c r="G7" s="70">
        <v>0</v>
      </c>
      <c r="H7" s="149">
        <v>0</v>
      </c>
      <c r="I7" s="149">
        <v>0</v>
      </c>
      <c r="J7" s="74">
        <v>0</v>
      </c>
    </row>
    <row r="8" spans="1:10" outlineLevel="2" x14ac:dyDescent="0.25">
      <c r="A8" s="534"/>
      <c r="B8" s="535"/>
      <c r="C8" s="535"/>
      <c r="D8" s="10" t="s">
        <v>7</v>
      </c>
      <c r="E8" s="7">
        <f t="shared" si="4"/>
        <v>0</v>
      </c>
      <c r="F8" s="69">
        <v>0</v>
      </c>
      <c r="G8" s="70">
        <v>0</v>
      </c>
      <c r="H8" s="149">
        <v>0</v>
      </c>
      <c r="I8" s="149">
        <v>0</v>
      </c>
      <c r="J8" s="74">
        <v>0</v>
      </c>
    </row>
    <row r="9" spans="1:10" outlineLevel="2" x14ac:dyDescent="0.25">
      <c r="A9" s="534"/>
      <c r="B9" s="535"/>
      <c r="C9" s="535"/>
      <c r="D9" s="10" t="s">
        <v>8</v>
      </c>
      <c r="E9" s="7">
        <f t="shared" si="4"/>
        <v>0</v>
      </c>
      <c r="F9" s="69">
        <v>0</v>
      </c>
      <c r="G9" s="70">
        <v>0</v>
      </c>
      <c r="H9" s="149">
        <v>0</v>
      </c>
      <c r="I9" s="149">
        <v>0</v>
      </c>
      <c r="J9" s="74">
        <v>0</v>
      </c>
    </row>
    <row r="10" spans="1:10" outlineLevel="2" x14ac:dyDescent="0.25">
      <c r="A10" s="534"/>
      <c r="B10" s="535"/>
      <c r="C10" s="535"/>
      <c r="D10" s="10" t="s">
        <v>9</v>
      </c>
      <c r="E10" s="7">
        <f t="shared" si="4"/>
        <v>0</v>
      </c>
      <c r="F10" s="69">
        <v>0</v>
      </c>
      <c r="G10" s="70">
        <v>0</v>
      </c>
      <c r="H10" s="149">
        <v>0</v>
      </c>
      <c r="I10" s="149">
        <v>0</v>
      </c>
      <c r="J10" s="74">
        <v>0</v>
      </c>
    </row>
    <row r="11" spans="1:10" outlineLevel="2" x14ac:dyDescent="0.25">
      <c r="A11" s="534"/>
      <c r="B11" s="535"/>
      <c r="C11" s="535"/>
      <c r="D11" s="10" t="s">
        <v>10</v>
      </c>
      <c r="E11" s="7">
        <f t="shared" si="4"/>
        <v>0</v>
      </c>
      <c r="F11" s="69">
        <v>0</v>
      </c>
      <c r="G11" s="70">
        <v>0</v>
      </c>
      <c r="H11" s="149">
        <v>0</v>
      </c>
      <c r="I11" s="149">
        <v>0</v>
      </c>
      <c r="J11" s="74">
        <v>0</v>
      </c>
    </row>
    <row r="12" spans="1:10" outlineLevel="2" x14ac:dyDescent="0.25">
      <c r="A12" s="534"/>
      <c r="B12" s="535"/>
      <c r="C12" s="535"/>
      <c r="D12" s="10" t="s">
        <v>11</v>
      </c>
      <c r="E12" s="7">
        <f t="shared" si="4"/>
        <v>0</v>
      </c>
      <c r="F12" s="69">
        <v>0</v>
      </c>
      <c r="G12" s="70">
        <v>0</v>
      </c>
      <c r="H12" s="149">
        <v>0</v>
      </c>
      <c r="I12" s="149">
        <v>0</v>
      </c>
      <c r="J12" s="74">
        <v>0</v>
      </c>
    </row>
    <row r="13" spans="1:10" outlineLevel="2" x14ac:dyDescent="0.25">
      <c r="A13" s="534"/>
      <c r="B13" s="535"/>
      <c r="C13" s="535"/>
      <c r="D13" s="10" t="s">
        <v>12</v>
      </c>
      <c r="E13" s="7">
        <f t="shared" si="4"/>
        <v>0</v>
      </c>
      <c r="F13" s="69">
        <v>0</v>
      </c>
      <c r="G13" s="70">
        <v>0</v>
      </c>
      <c r="H13" s="149">
        <v>0</v>
      </c>
      <c r="I13" s="149">
        <v>0</v>
      </c>
      <c r="J13" s="74">
        <v>0</v>
      </c>
    </row>
    <row r="14" spans="1:10" ht="15.75" outlineLevel="2" thickBot="1" x14ac:dyDescent="0.3">
      <c r="A14" s="534"/>
      <c r="B14" s="535"/>
      <c r="C14" s="535"/>
      <c r="D14" s="11" t="s">
        <v>13</v>
      </c>
      <c r="E14" s="7">
        <f t="shared" si="4"/>
        <v>0</v>
      </c>
      <c r="F14" s="71">
        <v>0</v>
      </c>
      <c r="G14" s="72">
        <v>0</v>
      </c>
      <c r="H14" s="150">
        <v>0</v>
      </c>
      <c r="I14" s="150">
        <v>0</v>
      </c>
      <c r="J14" s="75">
        <v>0</v>
      </c>
    </row>
    <row r="15" spans="1:10" outlineLevel="2" x14ac:dyDescent="0.25">
      <c r="A15" s="534" t="s">
        <v>36</v>
      </c>
      <c r="B15" s="535" t="s">
        <v>42</v>
      </c>
      <c r="C15" s="535">
        <v>633013</v>
      </c>
      <c r="D15" s="9" t="s">
        <v>4</v>
      </c>
      <c r="E15" s="6">
        <f t="shared" si="4"/>
        <v>0</v>
      </c>
      <c r="F15" s="67">
        <v>0</v>
      </c>
      <c r="G15" s="68">
        <v>0</v>
      </c>
      <c r="H15" s="148">
        <v>0</v>
      </c>
      <c r="I15" s="148">
        <v>0</v>
      </c>
      <c r="J15" s="73">
        <v>0</v>
      </c>
    </row>
    <row r="16" spans="1:10" outlineLevel="2" x14ac:dyDescent="0.25">
      <c r="A16" s="534"/>
      <c r="B16" s="535"/>
      <c r="C16" s="535"/>
      <c r="D16" s="10" t="s">
        <v>5</v>
      </c>
      <c r="E16" s="7">
        <f t="shared" si="4"/>
        <v>0</v>
      </c>
      <c r="F16" s="69">
        <v>0</v>
      </c>
      <c r="G16" s="70">
        <v>0</v>
      </c>
      <c r="H16" s="149">
        <v>0</v>
      </c>
      <c r="I16" s="149">
        <v>0</v>
      </c>
      <c r="J16" s="74">
        <v>0</v>
      </c>
    </row>
    <row r="17" spans="1:10" outlineLevel="2" x14ac:dyDescent="0.25">
      <c r="A17" s="534"/>
      <c r="B17" s="535"/>
      <c r="C17" s="535"/>
      <c r="D17" s="10" t="s">
        <v>6</v>
      </c>
      <c r="E17" s="7">
        <f t="shared" si="4"/>
        <v>0</v>
      </c>
      <c r="F17" s="69">
        <v>0</v>
      </c>
      <c r="G17" s="70">
        <v>0</v>
      </c>
      <c r="H17" s="149">
        <v>0</v>
      </c>
      <c r="I17" s="149">
        <v>0</v>
      </c>
      <c r="J17" s="74">
        <v>0</v>
      </c>
    </row>
    <row r="18" spans="1:10" outlineLevel="2" x14ac:dyDescent="0.25">
      <c r="A18" s="534"/>
      <c r="B18" s="535"/>
      <c r="C18" s="535"/>
      <c r="D18" s="10" t="s">
        <v>7</v>
      </c>
      <c r="E18" s="7">
        <f t="shared" si="4"/>
        <v>0</v>
      </c>
      <c r="F18" s="69">
        <v>0</v>
      </c>
      <c r="G18" s="70">
        <v>0</v>
      </c>
      <c r="H18" s="149">
        <v>0</v>
      </c>
      <c r="I18" s="149">
        <v>0</v>
      </c>
      <c r="J18" s="74">
        <v>0</v>
      </c>
    </row>
    <row r="19" spans="1:10" outlineLevel="2" x14ac:dyDescent="0.25">
      <c r="A19" s="534"/>
      <c r="B19" s="535"/>
      <c r="C19" s="535"/>
      <c r="D19" s="10" t="s">
        <v>8</v>
      </c>
      <c r="E19" s="7">
        <f t="shared" si="4"/>
        <v>0</v>
      </c>
      <c r="F19" s="69">
        <v>0</v>
      </c>
      <c r="G19" s="70">
        <v>0</v>
      </c>
      <c r="H19" s="149">
        <v>0</v>
      </c>
      <c r="I19" s="149">
        <v>0</v>
      </c>
      <c r="J19" s="74">
        <v>0</v>
      </c>
    </row>
    <row r="20" spans="1:10" outlineLevel="2" x14ac:dyDescent="0.25">
      <c r="A20" s="534"/>
      <c r="B20" s="535"/>
      <c r="C20" s="535"/>
      <c r="D20" s="10" t="s">
        <v>9</v>
      </c>
      <c r="E20" s="7">
        <f t="shared" si="4"/>
        <v>0</v>
      </c>
      <c r="F20" s="69">
        <v>0</v>
      </c>
      <c r="G20" s="70">
        <v>0</v>
      </c>
      <c r="H20" s="149">
        <v>0</v>
      </c>
      <c r="I20" s="149">
        <v>0</v>
      </c>
      <c r="J20" s="74">
        <v>0</v>
      </c>
    </row>
    <row r="21" spans="1:10" outlineLevel="2" x14ac:dyDescent="0.25">
      <c r="A21" s="534"/>
      <c r="B21" s="535"/>
      <c r="C21" s="535"/>
      <c r="D21" s="10" t="s">
        <v>10</v>
      </c>
      <c r="E21" s="7">
        <f t="shared" si="4"/>
        <v>0</v>
      </c>
      <c r="F21" s="69">
        <v>0</v>
      </c>
      <c r="G21" s="70">
        <v>0</v>
      </c>
      <c r="H21" s="149">
        <v>0</v>
      </c>
      <c r="I21" s="149">
        <v>0</v>
      </c>
      <c r="J21" s="74">
        <v>0</v>
      </c>
    </row>
    <row r="22" spans="1:10" outlineLevel="2" x14ac:dyDescent="0.25">
      <c r="A22" s="534"/>
      <c r="B22" s="535"/>
      <c r="C22" s="535"/>
      <c r="D22" s="10" t="s">
        <v>11</v>
      </c>
      <c r="E22" s="7">
        <f t="shared" si="4"/>
        <v>0</v>
      </c>
      <c r="F22" s="69">
        <v>0</v>
      </c>
      <c r="G22" s="70">
        <v>0</v>
      </c>
      <c r="H22" s="149">
        <v>0</v>
      </c>
      <c r="I22" s="149">
        <v>0</v>
      </c>
      <c r="J22" s="74">
        <v>0</v>
      </c>
    </row>
    <row r="23" spans="1:10" outlineLevel="2" x14ac:dyDescent="0.25">
      <c r="A23" s="534"/>
      <c r="B23" s="535"/>
      <c r="C23" s="535"/>
      <c r="D23" s="10" t="s">
        <v>12</v>
      </c>
      <c r="E23" s="7">
        <f t="shared" si="4"/>
        <v>0</v>
      </c>
      <c r="F23" s="69">
        <v>0</v>
      </c>
      <c r="G23" s="70">
        <v>0</v>
      </c>
      <c r="H23" s="149">
        <v>0</v>
      </c>
      <c r="I23" s="149">
        <v>0</v>
      </c>
      <c r="J23" s="74">
        <v>0</v>
      </c>
    </row>
    <row r="24" spans="1:10" ht="15.75" outlineLevel="2" thickBot="1" x14ac:dyDescent="0.3">
      <c r="A24" s="534"/>
      <c r="B24" s="535"/>
      <c r="C24" s="535"/>
      <c r="D24" s="11" t="s">
        <v>13</v>
      </c>
      <c r="E24" s="8">
        <f t="shared" si="4"/>
        <v>0</v>
      </c>
      <c r="F24" s="71">
        <v>0</v>
      </c>
      <c r="G24" s="72">
        <v>0</v>
      </c>
      <c r="H24" s="150">
        <v>0</v>
      </c>
      <c r="I24" s="150">
        <v>0</v>
      </c>
      <c r="J24" s="75">
        <v>0</v>
      </c>
    </row>
    <row r="25" spans="1:10" ht="15.75" outlineLevel="1" thickBot="1" x14ac:dyDescent="0.3">
      <c r="A25" s="1" t="s">
        <v>71</v>
      </c>
      <c r="B25" s="1"/>
      <c r="C25" s="1"/>
      <c r="D25" s="2"/>
      <c r="E25" s="81">
        <f t="shared" ref="E25:I25" si="5">SUM(E26:E55)</f>
        <v>463776.84683076915</v>
      </c>
      <c r="F25" s="82">
        <f t="shared" si="5"/>
        <v>8885.293846153847</v>
      </c>
      <c r="G25" s="82">
        <f t="shared" si="5"/>
        <v>339511.62646153843</v>
      </c>
      <c r="H25" s="151">
        <f t="shared" si="5"/>
        <v>91520.372676923085</v>
      </c>
      <c r="I25" s="151">
        <f t="shared" si="5"/>
        <v>23859.553846153849</v>
      </c>
      <c r="J25" s="83">
        <f t="shared" ref="J25" si="6">SUM(J26:J55)</f>
        <v>0</v>
      </c>
    </row>
    <row r="26" spans="1:10" outlineLevel="2" x14ac:dyDescent="0.25">
      <c r="A26" s="534" t="s">
        <v>40</v>
      </c>
      <c r="B26" s="535" t="s">
        <v>37</v>
      </c>
      <c r="C26" s="535">
        <v>711003</v>
      </c>
      <c r="D26" s="9" t="s">
        <v>4</v>
      </c>
      <c r="E26" s="13">
        <f t="shared" ref="E26:E55" si="7">SUM(F26:J26)</f>
        <v>455838.84683076915</v>
      </c>
      <c r="F26" s="58">
        <f>'Rozpočet - vývoj Aplikácií'!AW5</f>
        <v>8885.293846153847</v>
      </c>
      <c r="G26" s="59">
        <f>'Rozpočet - vývoj Aplikácií'!AW22</f>
        <v>333161.2264615384</v>
      </c>
      <c r="H26" s="152">
        <f>'Rozpočet - vývoj Aplikácií'!AW66</f>
        <v>89932.772676923079</v>
      </c>
      <c r="I26" s="152">
        <f>'Rozpočet - vývoj Aplikácií'!AW110</f>
        <v>23859.553846153849</v>
      </c>
      <c r="J26" s="60">
        <v>0</v>
      </c>
    </row>
    <row r="27" spans="1:10" outlineLevel="2" x14ac:dyDescent="0.25">
      <c r="A27" s="534"/>
      <c r="B27" s="535"/>
      <c r="C27" s="535"/>
      <c r="D27" s="10" t="s">
        <v>5</v>
      </c>
      <c r="E27" s="14">
        <f t="shared" si="7"/>
        <v>7938</v>
      </c>
      <c r="F27" s="61">
        <v>0</v>
      </c>
      <c r="G27" s="62">
        <f>'Rozpočet - vývoj Aplikácií'!AX22</f>
        <v>6350.4</v>
      </c>
      <c r="H27" s="153">
        <f>'Rozpočet - vývoj Aplikácií'!AX66</f>
        <v>1587.6</v>
      </c>
      <c r="I27" s="153">
        <v>0</v>
      </c>
      <c r="J27" s="63">
        <v>0</v>
      </c>
    </row>
    <row r="28" spans="1:10" outlineLevel="2" x14ac:dyDescent="0.25">
      <c r="A28" s="534"/>
      <c r="B28" s="535"/>
      <c r="C28" s="535"/>
      <c r="D28" s="10" t="s">
        <v>6</v>
      </c>
      <c r="E28" s="14">
        <f t="shared" si="7"/>
        <v>0</v>
      </c>
      <c r="F28" s="61">
        <v>0</v>
      </c>
      <c r="G28" s="62">
        <v>0</v>
      </c>
      <c r="H28" s="153">
        <v>0</v>
      </c>
      <c r="I28" s="153">
        <v>0</v>
      </c>
      <c r="J28" s="63">
        <v>0</v>
      </c>
    </row>
    <row r="29" spans="1:10" outlineLevel="2" x14ac:dyDescent="0.25">
      <c r="A29" s="534"/>
      <c r="B29" s="535"/>
      <c r="C29" s="535"/>
      <c r="D29" s="10" t="s">
        <v>7</v>
      </c>
      <c r="E29" s="14">
        <f t="shared" si="7"/>
        <v>0</v>
      </c>
      <c r="F29" s="61">
        <v>0</v>
      </c>
      <c r="G29" s="62">
        <v>0</v>
      </c>
      <c r="H29" s="153">
        <v>0</v>
      </c>
      <c r="I29" s="153">
        <v>0</v>
      </c>
      <c r="J29" s="63">
        <v>0</v>
      </c>
    </row>
    <row r="30" spans="1:10" outlineLevel="2" x14ac:dyDescent="0.25">
      <c r="A30" s="534"/>
      <c r="B30" s="535"/>
      <c r="C30" s="535"/>
      <c r="D30" s="10" t="s">
        <v>8</v>
      </c>
      <c r="E30" s="14">
        <f t="shared" si="7"/>
        <v>0</v>
      </c>
      <c r="F30" s="61">
        <v>0</v>
      </c>
      <c r="G30" s="62">
        <v>0</v>
      </c>
      <c r="H30" s="153">
        <v>0</v>
      </c>
      <c r="I30" s="153">
        <v>0</v>
      </c>
      <c r="J30" s="63">
        <v>0</v>
      </c>
    </row>
    <row r="31" spans="1:10" outlineLevel="2" x14ac:dyDescent="0.25">
      <c r="A31" s="534"/>
      <c r="B31" s="535"/>
      <c r="C31" s="535"/>
      <c r="D31" s="10" t="s">
        <v>9</v>
      </c>
      <c r="E31" s="14">
        <f t="shared" si="7"/>
        <v>0</v>
      </c>
      <c r="F31" s="61">
        <v>0</v>
      </c>
      <c r="G31" s="62">
        <v>0</v>
      </c>
      <c r="H31" s="153">
        <v>0</v>
      </c>
      <c r="I31" s="153">
        <v>0</v>
      </c>
      <c r="J31" s="63">
        <v>0</v>
      </c>
    </row>
    <row r="32" spans="1:10" outlineLevel="2" x14ac:dyDescent="0.25">
      <c r="A32" s="534"/>
      <c r="B32" s="535"/>
      <c r="C32" s="535"/>
      <c r="D32" s="10" t="s">
        <v>10</v>
      </c>
      <c r="E32" s="14">
        <f t="shared" si="7"/>
        <v>0</v>
      </c>
      <c r="F32" s="61">
        <v>0</v>
      </c>
      <c r="G32" s="62">
        <v>0</v>
      </c>
      <c r="H32" s="153">
        <v>0</v>
      </c>
      <c r="I32" s="153">
        <v>0</v>
      </c>
      <c r="J32" s="63">
        <v>0</v>
      </c>
    </row>
    <row r="33" spans="1:10" outlineLevel="2" x14ac:dyDescent="0.25">
      <c r="A33" s="534"/>
      <c r="B33" s="535"/>
      <c r="C33" s="535"/>
      <c r="D33" s="10" t="s">
        <v>11</v>
      </c>
      <c r="E33" s="14">
        <f t="shared" si="7"/>
        <v>0</v>
      </c>
      <c r="F33" s="61">
        <v>0</v>
      </c>
      <c r="G33" s="62">
        <v>0</v>
      </c>
      <c r="H33" s="153">
        <v>0</v>
      </c>
      <c r="I33" s="153">
        <v>0</v>
      </c>
      <c r="J33" s="63">
        <v>0</v>
      </c>
    </row>
    <row r="34" spans="1:10" outlineLevel="2" x14ac:dyDescent="0.25">
      <c r="A34" s="534"/>
      <c r="B34" s="535"/>
      <c r="C34" s="535"/>
      <c r="D34" s="10" t="s">
        <v>12</v>
      </c>
      <c r="E34" s="14">
        <f t="shared" si="7"/>
        <v>0</v>
      </c>
      <c r="F34" s="61">
        <v>0</v>
      </c>
      <c r="G34" s="62">
        <v>0</v>
      </c>
      <c r="H34" s="153">
        <v>0</v>
      </c>
      <c r="I34" s="153">
        <v>0</v>
      </c>
      <c r="J34" s="63">
        <v>0</v>
      </c>
    </row>
    <row r="35" spans="1:10" ht="15.75" outlineLevel="2" thickBot="1" x14ac:dyDescent="0.3">
      <c r="A35" s="534"/>
      <c r="B35" s="535"/>
      <c r="C35" s="535"/>
      <c r="D35" s="11" t="s">
        <v>13</v>
      </c>
      <c r="E35" s="15">
        <f t="shared" si="7"/>
        <v>0</v>
      </c>
      <c r="F35" s="64">
        <v>0</v>
      </c>
      <c r="G35" s="65">
        <v>0</v>
      </c>
      <c r="H35" s="154">
        <v>0</v>
      </c>
      <c r="I35" s="154">
        <v>0</v>
      </c>
      <c r="J35" s="66">
        <v>0</v>
      </c>
    </row>
    <row r="36" spans="1:10" outlineLevel="2" x14ac:dyDescent="0.25">
      <c r="A36" s="534" t="s">
        <v>40</v>
      </c>
      <c r="B36" s="535" t="s">
        <v>42</v>
      </c>
      <c r="C36" s="535">
        <v>633013</v>
      </c>
      <c r="D36" s="9" t="s">
        <v>4</v>
      </c>
      <c r="E36" s="14">
        <f t="shared" si="7"/>
        <v>0</v>
      </c>
      <c r="F36" s="58">
        <v>0</v>
      </c>
      <c r="G36" s="59">
        <v>0</v>
      </c>
      <c r="H36" s="152">
        <v>0</v>
      </c>
      <c r="I36" s="152">
        <v>0</v>
      </c>
      <c r="J36" s="60">
        <v>0</v>
      </c>
    </row>
    <row r="37" spans="1:10" outlineLevel="2" x14ac:dyDescent="0.25">
      <c r="A37" s="534"/>
      <c r="B37" s="535"/>
      <c r="C37" s="535"/>
      <c r="D37" s="10" t="s">
        <v>5</v>
      </c>
      <c r="E37" s="14">
        <f t="shared" si="7"/>
        <v>0</v>
      </c>
      <c r="F37" s="61">
        <v>0</v>
      </c>
      <c r="G37" s="62">
        <v>0</v>
      </c>
      <c r="H37" s="153">
        <v>0</v>
      </c>
      <c r="I37" s="153">
        <v>0</v>
      </c>
      <c r="J37" s="63">
        <v>0</v>
      </c>
    </row>
    <row r="38" spans="1:10" outlineLevel="2" x14ac:dyDescent="0.25">
      <c r="A38" s="534"/>
      <c r="B38" s="535"/>
      <c r="C38" s="535"/>
      <c r="D38" s="10" t="s">
        <v>6</v>
      </c>
      <c r="E38" s="14">
        <f t="shared" si="7"/>
        <v>0</v>
      </c>
      <c r="F38" s="61">
        <v>0</v>
      </c>
      <c r="G38" s="62">
        <v>0</v>
      </c>
      <c r="H38" s="153">
        <v>0</v>
      </c>
      <c r="I38" s="153">
        <v>0</v>
      </c>
      <c r="J38" s="63">
        <v>0</v>
      </c>
    </row>
    <row r="39" spans="1:10" outlineLevel="2" x14ac:dyDescent="0.25">
      <c r="A39" s="534"/>
      <c r="B39" s="535"/>
      <c r="C39" s="535"/>
      <c r="D39" s="10" t="s">
        <v>7</v>
      </c>
      <c r="E39" s="14">
        <f t="shared" si="7"/>
        <v>0</v>
      </c>
      <c r="F39" s="61">
        <v>0</v>
      </c>
      <c r="G39" s="62">
        <v>0</v>
      </c>
      <c r="H39" s="153">
        <v>0</v>
      </c>
      <c r="I39" s="153">
        <v>0</v>
      </c>
      <c r="J39" s="63">
        <v>0</v>
      </c>
    </row>
    <row r="40" spans="1:10" outlineLevel="2" x14ac:dyDescent="0.25">
      <c r="A40" s="534"/>
      <c r="B40" s="535"/>
      <c r="C40" s="535"/>
      <c r="D40" s="10" t="s">
        <v>8</v>
      </c>
      <c r="E40" s="14">
        <f t="shared" si="7"/>
        <v>0</v>
      </c>
      <c r="F40" s="61">
        <v>0</v>
      </c>
      <c r="G40" s="62">
        <v>0</v>
      </c>
      <c r="H40" s="153">
        <v>0</v>
      </c>
      <c r="I40" s="153">
        <v>0</v>
      </c>
      <c r="J40" s="63">
        <v>0</v>
      </c>
    </row>
    <row r="41" spans="1:10" outlineLevel="2" x14ac:dyDescent="0.25">
      <c r="A41" s="534"/>
      <c r="B41" s="535"/>
      <c r="C41" s="535"/>
      <c r="D41" s="10" t="s">
        <v>9</v>
      </c>
      <c r="E41" s="14">
        <f t="shared" si="7"/>
        <v>0</v>
      </c>
      <c r="F41" s="61">
        <v>0</v>
      </c>
      <c r="G41" s="62">
        <v>0</v>
      </c>
      <c r="H41" s="153">
        <v>0</v>
      </c>
      <c r="I41" s="153">
        <v>0</v>
      </c>
      <c r="J41" s="63">
        <v>0</v>
      </c>
    </row>
    <row r="42" spans="1:10" outlineLevel="2" x14ac:dyDescent="0.25">
      <c r="A42" s="534"/>
      <c r="B42" s="535"/>
      <c r="C42" s="535"/>
      <c r="D42" s="10" t="s">
        <v>10</v>
      </c>
      <c r="E42" s="14">
        <f t="shared" si="7"/>
        <v>0</v>
      </c>
      <c r="F42" s="61">
        <v>0</v>
      </c>
      <c r="G42" s="62">
        <v>0</v>
      </c>
      <c r="H42" s="153">
        <v>0</v>
      </c>
      <c r="I42" s="153">
        <v>0</v>
      </c>
      <c r="J42" s="63">
        <v>0</v>
      </c>
    </row>
    <row r="43" spans="1:10" outlineLevel="2" x14ac:dyDescent="0.25">
      <c r="A43" s="534"/>
      <c r="B43" s="535"/>
      <c r="C43" s="535"/>
      <c r="D43" s="10" t="s">
        <v>11</v>
      </c>
      <c r="E43" s="14">
        <f t="shared" si="7"/>
        <v>0</v>
      </c>
      <c r="F43" s="61">
        <v>0</v>
      </c>
      <c r="G43" s="62">
        <v>0</v>
      </c>
      <c r="H43" s="153">
        <v>0</v>
      </c>
      <c r="I43" s="153">
        <v>0</v>
      </c>
      <c r="J43" s="63">
        <v>0</v>
      </c>
    </row>
    <row r="44" spans="1:10" outlineLevel="2" x14ac:dyDescent="0.25">
      <c r="A44" s="534"/>
      <c r="B44" s="535"/>
      <c r="C44" s="535"/>
      <c r="D44" s="10" t="s">
        <v>12</v>
      </c>
      <c r="E44" s="14">
        <f t="shared" si="7"/>
        <v>0</v>
      </c>
      <c r="F44" s="61">
        <v>0</v>
      </c>
      <c r="G44" s="62">
        <v>0</v>
      </c>
      <c r="H44" s="153">
        <v>0</v>
      </c>
      <c r="I44" s="153">
        <v>0</v>
      </c>
      <c r="J44" s="63">
        <v>0</v>
      </c>
    </row>
    <row r="45" spans="1:10" ht="15.75" outlineLevel="2" thickBot="1" x14ac:dyDescent="0.3">
      <c r="A45" s="534"/>
      <c r="B45" s="535"/>
      <c r="C45" s="535"/>
      <c r="D45" s="11" t="s">
        <v>13</v>
      </c>
      <c r="E45" s="15">
        <f t="shared" si="7"/>
        <v>0</v>
      </c>
      <c r="F45" s="64">
        <v>0</v>
      </c>
      <c r="G45" s="65">
        <v>0</v>
      </c>
      <c r="H45" s="154">
        <v>0</v>
      </c>
      <c r="I45" s="154">
        <v>0</v>
      </c>
      <c r="J45" s="66">
        <v>0</v>
      </c>
    </row>
    <row r="46" spans="1:10" outlineLevel="2" x14ac:dyDescent="0.25">
      <c r="A46" s="534" t="s">
        <v>41</v>
      </c>
      <c r="B46" s="535" t="s">
        <v>42</v>
      </c>
      <c r="C46" s="535">
        <v>637001</v>
      </c>
      <c r="D46" s="9" t="s">
        <v>4</v>
      </c>
      <c r="E46" s="14">
        <f t="shared" si="7"/>
        <v>0</v>
      </c>
      <c r="F46" s="58">
        <v>0</v>
      </c>
      <c r="G46" s="59">
        <v>0</v>
      </c>
      <c r="H46" s="152">
        <v>0</v>
      </c>
      <c r="I46" s="152">
        <v>0</v>
      </c>
      <c r="J46" s="60">
        <v>0</v>
      </c>
    </row>
    <row r="47" spans="1:10" outlineLevel="2" x14ac:dyDescent="0.25">
      <c r="A47" s="534"/>
      <c r="B47" s="535"/>
      <c r="C47" s="535"/>
      <c r="D47" s="10" t="s">
        <v>5</v>
      </c>
      <c r="E47" s="14">
        <f t="shared" si="7"/>
        <v>0</v>
      </c>
      <c r="F47" s="61">
        <v>0</v>
      </c>
      <c r="G47" s="62">
        <v>0</v>
      </c>
      <c r="H47" s="153">
        <v>0</v>
      </c>
      <c r="I47" s="153">
        <v>0</v>
      </c>
      <c r="J47" s="63">
        <v>0</v>
      </c>
    </row>
    <row r="48" spans="1:10" outlineLevel="2" x14ac:dyDescent="0.25">
      <c r="A48" s="534"/>
      <c r="B48" s="535"/>
      <c r="C48" s="535"/>
      <c r="D48" s="10" t="s">
        <v>6</v>
      </c>
      <c r="E48" s="14">
        <f t="shared" si="7"/>
        <v>0</v>
      </c>
      <c r="F48" s="61">
        <v>0</v>
      </c>
      <c r="G48" s="62">
        <v>0</v>
      </c>
      <c r="H48" s="153">
        <v>0</v>
      </c>
      <c r="I48" s="153">
        <v>0</v>
      </c>
      <c r="J48" s="63">
        <v>0</v>
      </c>
    </row>
    <row r="49" spans="1:10" outlineLevel="2" x14ac:dyDescent="0.25">
      <c r="A49" s="534"/>
      <c r="B49" s="535"/>
      <c r="C49" s="535"/>
      <c r="D49" s="10" t="s">
        <v>7</v>
      </c>
      <c r="E49" s="14">
        <f t="shared" si="7"/>
        <v>0</v>
      </c>
      <c r="F49" s="61">
        <v>0</v>
      </c>
      <c r="G49" s="62">
        <v>0</v>
      </c>
      <c r="H49" s="153">
        <v>0</v>
      </c>
      <c r="I49" s="153">
        <v>0</v>
      </c>
      <c r="J49" s="63">
        <v>0</v>
      </c>
    </row>
    <row r="50" spans="1:10" outlineLevel="2" x14ac:dyDescent="0.25">
      <c r="A50" s="534"/>
      <c r="B50" s="535"/>
      <c r="C50" s="535"/>
      <c r="D50" s="10" t="s">
        <v>8</v>
      </c>
      <c r="E50" s="14">
        <f t="shared" si="7"/>
        <v>0</v>
      </c>
      <c r="F50" s="61">
        <v>0</v>
      </c>
      <c r="G50" s="62">
        <v>0</v>
      </c>
      <c r="H50" s="153">
        <v>0</v>
      </c>
      <c r="I50" s="153">
        <v>0</v>
      </c>
      <c r="J50" s="63">
        <v>0</v>
      </c>
    </row>
    <row r="51" spans="1:10" outlineLevel="2" x14ac:dyDescent="0.25">
      <c r="A51" s="534"/>
      <c r="B51" s="535"/>
      <c r="C51" s="535"/>
      <c r="D51" s="10" t="s">
        <v>9</v>
      </c>
      <c r="E51" s="14">
        <f t="shared" si="7"/>
        <v>0</v>
      </c>
      <c r="F51" s="61">
        <v>0</v>
      </c>
      <c r="G51" s="62">
        <v>0</v>
      </c>
      <c r="H51" s="153">
        <v>0</v>
      </c>
      <c r="I51" s="153">
        <v>0</v>
      </c>
      <c r="J51" s="63">
        <v>0</v>
      </c>
    </row>
    <row r="52" spans="1:10" outlineLevel="2" x14ac:dyDescent="0.25">
      <c r="A52" s="534"/>
      <c r="B52" s="535"/>
      <c r="C52" s="535"/>
      <c r="D52" s="10" t="s">
        <v>10</v>
      </c>
      <c r="E52" s="14">
        <f t="shared" si="7"/>
        <v>0</v>
      </c>
      <c r="F52" s="61">
        <v>0</v>
      </c>
      <c r="G52" s="62">
        <v>0</v>
      </c>
      <c r="H52" s="153">
        <v>0</v>
      </c>
      <c r="I52" s="153">
        <v>0</v>
      </c>
      <c r="J52" s="63">
        <v>0</v>
      </c>
    </row>
    <row r="53" spans="1:10" outlineLevel="2" x14ac:dyDescent="0.25">
      <c r="A53" s="534"/>
      <c r="B53" s="535"/>
      <c r="C53" s="535"/>
      <c r="D53" s="10" t="s">
        <v>11</v>
      </c>
      <c r="E53" s="14">
        <f t="shared" si="7"/>
        <v>0</v>
      </c>
      <c r="F53" s="61">
        <v>0</v>
      </c>
      <c r="G53" s="62">
        <v>0</v>
      </c>
      <c r="H53" s="153">
        <v>0</v>
      </c>
      <c r="I53" s="153">
        <v>0</v>
      </c>
      <c r="J53" s="63">
        <v>0</v>
      </c>
    </row>
    <row r="54" spans="1:10" outlineLevel="2" x14ac:dyDescent="0.25">
      <c r="A54" s="534"/>
      <c r="B54" s="535"/>
      <c r="C54" s="535"/>
      <c r="D54" s="10" t="s">
        <v>12</v>
      </c>
      <c r="E54" s="14">
        <f t="shared" si="7"/>
        <v>0</v>
      </c>
      <c r="F54" s="61">
        <v>0</v>
      </c>
      <c r="G54" s="62">
        <v>0</v>
      </c>
      <c r="H54" s="153">
        <v>0</v>
      </c>
      <c r="I54" s="153">
        <v>0</v>
      </c>
      <c r="J54" s="63">
        <v>0</v>
      </c>
    </row>
    <row r="55" spans="1:10" ht="15.75" outlineLevel="2" thickBot="1" x14ac:dyDescent="0.3">
      <c r="A55" s="534"/>
      <c r="B55" s="535"/>
      <c r="C55" s="535"/>
      <c r="D55" s="10" t="s">
        <v>13</v>
      </c>
      <c r="E55" s="15">
        <f t="shared" si="7"/>
        <v>0</v>
      </c>
      <c r="F55" s="64">
        <v>0</v>
      </c>
      <c r="G55" s="65">
        <v>0</v>
      </c>
      <c r="H55" s="154">
        <v>0</v>
      </c>
      <c r="I55" s="154">
        <v>0</v>
      </c>
      <c r="J55" s="66">
        <v>0</v>
      </c>
    </row>
    <row r="56" spans="1:10" ht="15.75" thickBot="1" x14ac:dyDescent="0.3">
      <c r="A56" s="538" t="s">
        <v>43</v>
      </c>
      <c r="B56" s="539"/>
      <c r="C56" s="539"/>
      <c r="D56" s="23"/>
      <c r="E56" s="19">
        <f t="shared" ref="E56:I56" si="8">E57+E78</f>
        <v>158649.40553603074</v>
      </c>
      <c r="F56" s="20">
        <f t="shared" si="8"/>
        <v>2492.3249238461535</v>
      </c>
      <c r="G56" s="20">
        <f t="shared" si="8"/>
        <v>95233.011222461544</v>
      </c>
      <c r="H56" s="147">
        <f t="shared" si="8"/>
        <v>25671.464535876934</v>
      </c>
      <c r="I56" s="147">
        <f t="shared" si="8"/>
        <v>6692.6048538461555</v>
      </c>
      <c r="J56" s="21">
        <f t="shared" ref="J56" si="9">J57+J78</f>
        <v>28560</v>
      </c>
    </row>
    <row r="57" spans="1:10" ht="15.75" outlineLevel="1" thickBot="1" x14ac:dyDescent="0.3">
      <c r="A57" s="1" t="s">
        <v>70</v>
      </c>
      <c r="B57" s="1"/>
      <c r="C57" s="1"/>
      <c r="D57" s="2"/>
      <c r="E57" s="76">
        <f t="shared" ref="E57:I57" si="10">SUM(E58:E77)</f>
        <v>0</v>
      </c>
      <c r="F57" s="77">
        <f t="shared" si="10"/>
        <v>0</v>
      </c>
      <c r="G57" s="77">
        <f t="shared" si="10"/>
        <v>0</v>
      </c>
      <c r="H57" s="155">
        <f t="shared" si="10"/>
        <v>0</v>
      </c>
      <c r="I57" s="155">
        <f t="shared" si="10"/>
        <v>0</v>
      </c>
      <c r="J57" s="3">
        <f t="shared" ref="J57" si="11">SUM(J58:J77)</f>
        <v>0</v>
      </c>
    </row>
    <row r="58" spans="1:10" outlineLevel="2" x14ac:dyDescent="0.25">
      <c r="A58" s="534" t="s">
        <v>44</v>
      </c>
      <c r="B58" s="535" t="s">
        <v>45</v>
      </c>
      <c r="C58" s="535">
        <v>635009</v>
      </c>
      <c r="D58" s="9" t="s">
        <v>4</v>
      </c>
      <c r="E58" s="6">
        <f t="shared" ref="E58:E77" si="12">SUM(F58:J58)</f>
        <v>0</v>
      </c>
      <c r="F58" s="68">
        <v>0</v>
      </c>
      <c r="G58" s="68">
        <v>0</v>
      </c>
      <c r="H58" s="148">
        <v>0</v>
      </c>
      <c r="I58" s="148">
        <v>0</v>
      </c>
      <c r="J58" s="73">
        <v>0</v>
      </c>
    </row>
    <row r="59" spans="1:10" outlineLevel="2" x14ac:dyDescent="0.25">
      <c r="A59" s="534"/>
      <c r="B59" s="535"/>
      <c r="C59" s="535"/>
      <c r="D59" s="10" t="s">
        <v>5</v>
      </c>
      <c r="E59" s="7">
        <f t="shared" si="12"/>
        <v>0</v>
      </c>
      <c r="F59" s="70">
        <v>0</v>
      </c>
      <c r="G59" s="70">
        <v>0</v>
      </c>
      <c r="H59" s="149">
        <v>0</v>
      </c>
      <c r="I59" s="149">
        <v>0</v>
      </c>
      <c r="J59" s="74">
        <v>0</v>
      </c>
    </row>
    <row r="60" spans="1:10" outlineLevel="2" x14ac:dyDescent="0.25">
      <c r="A60" s="534"/>
      <c r="B60" s="535"/>
      <c r="C60" s="535"/>
      <c r="D60" s="10" t="s">
        <v>6</v>
      </c>
      <c r="E60" s="7">
        <f t="shared" si="12"/>
        <v>0</v>
      </c>
      <c r="F60" s="69">
        <v>0</v>
      </c>
      <c r="G60" s="70">
        <v>0</v>
      </c>
      <c r="H60" s="149">
        <v>0</v>
      </c>
      <c r="I60" s="149">
        <v>0</v>
      </c>
      <c r="J60" s="74">
        <v>0</v>
      </c>
    </row>
    <row r="61" spans="1:10" outlineLevel="2" x14ac:dyDescent="0.25">
      <c r="A61" s="534"/>
      <c r="B61" s="535"/>
      <c r="C61" s="535"/>
      <c r="D61" s="10" t="s">
        <v>7</v>
      </c>
      <c r="E61" s="7">
        <f t="shared" si="12"/>
        <v>0</v>
      </c>
      <c r="F61" s="69">
        <v>0</v>
      </c>
      <c r="G61" s="70">
        <v>0</v>
      </c>
      <c r="H61" s="149">
        <v>0</v>
      </c>
      <c r="I61" s="149">
        <v>0</v>
      </c>
      <c r="J61" s="74">
        <v>0</v>
      </c>
    </row>
    <row r="62" spans="1:10" outlineLevel="2" x14ac:dyDescent="0.25">
      <c r="A62" s="534"/>
      <c r="B62" s="535"/>
      <c r="C62" s="535"/>
      <c r="D62" s="10" t="s">
        <v>8</v>
      </c>
      <c r="E62" s="7">
        <f t="shared" si="12"/>
        <v>0</v>
      </c>
      <c r="F62" s="69">
        <f>F61</f>
        <v>0</v>
      </c>
      <c r="G62" s="70">
        <v>0</v>
      </c>
      <c r="H62" s="149">
        <v>0</v>
      </c>
      <c r="I62" s="149">
        <v>0</v>
      </c>
      <c r="J62" s="74">
        <v>0</v>
      </c>
    </row>
    <row r="63" spans="1:10" outlineLevel="2" x14ac:dyDescent="0.25">
      <c r="A63" s="534"/>
      <c r="B63" s="535"/>
      <c r="C63" s="535"/>
      <c r="D63" s="10" t="s">
        <v>9</v>
      </c>
      <c r="E63" s="7">
        <f t="shared" si="12"/>
        <v>0</v>
      </c>
      <c r="F63" s="69">
        <f t="shared" ref="F63:F67" si="13">F62</f>
        <v>0</v>
      </c>
      <c r="G63" s="70">
        <v>0</v>
      </c>
      <c r="H63" s="149">
        <v>0</v>
      </c>
      <c r="I63" s="149">
        <v>0</v>
      </c>
      <c r="J63" s="74">
        <v>0</v>
      </c>
    </row>
    <row r="64" spans="1:10" outlineLevel="2" x14ac:dyDescent="0.25">
      <c r="A64" s="534"/>
      <c r="B64" s="535"/>
      <c r="C64" s="535"/>
      <c r="D64" s="10" t="s">
        <v>10</v>
      </c>
      <c r="E64" s="7">
        <f t="shared" si="12"/>
        <v>0</v>
      </c>
      <c r="F64" s="69">
        <f t="shared" si="13"/>
        <v>0</v>
      </c>
      <c r="G64" s="70">
        <v>0</v>
      </c>
      <c r="H64" s="149">
        <v>0</v>
      </c>
      <c r="I64" s="149">
        <v>0</v>
      </c>
      <c r="J64" s="74">
        <v>0</v>
      </c>
    </row>
    <row r="65" spans="1:12" outlineLevel="2" x14ac:dyDescent="0.25">
      <c r="A65" s="534"/>
      <c r="B65" s="535"/>
      <c r="C65" s="535"/>
      <c r="D65" s="10" t="s">
        <v>11</v>
      </c>
      <c r="E65" s="7">
        <f t="shared" si="12"/>
        <v>0</v>
      </c>
      <c r="F65" s="69">
        <f t="shared" si="13"/>
        <v>0</v>
      </c>
      <c r="G65" s="70">
        <v>0</v>
      </c>
      <c r="H65" s="149">
        <v>0</v>
      </c>
      <c r="I65" s="149">
        <v>0</v>
      </c>
      <c r="J65" s="74">
        <v>0</v>
      </c>
    </row>
    <row r="66" spans="1:12" outlineLevel="2" x14ac:dyDescent="0.25">
      <c r="A66" s="534"/>
      <c r="B66" s="535"/>
      <c r="C66" s="535"/>
      <c r="D66" s="10" t="s">
        <v>12</v>
      </c>
      <c r="E66" s="7">
        <f t="shared" si="12"/>
        <v>0</v>
      </c>
      <c r="F66" s="69">
        <f t="shared" si="13"/>
        <v>0</v>
      </c>
      <c r="G66" s="70">
        <v>0</v>
      </c>
      <c r="H66" s="149">
        <v>0</v>
      </c>
      <c r="I66" s="149">
        <v>0</v>
      </c>
      <c r="J66" s="74">
        <v>0</v>
      </c>
    </row>
    <row r="67" spans="1:12" ht="15.75" outlineLevel="2" thickBot="1" x14ac:dyDescent="0.3">
      <c r="A67" s="534"/>
      <c r="B67" s="535"/>
      <c r="C67" s="535"/>
      <c r="D67" s="11" t="s">
        <v>13</v>
      </c>
      <c r="E67" s="8">
        <f t="shared" si="12"/>
        <v>0</v>
      </c>
      <c r="F67" s="71">
        <f t="shared" si="13"/>
        <v>0</v>
      </c>
      <c r="G67" s="72">
        <v>0</v>
      </c>
      <c r="H67" s="150">
        <v>0</v>
      </c>
      <c r="I67" s="150">
        <v>0</v>
      </c>
      <c r="J67" s="75">
        <v>0</v>
      </c>
    </row>
    <row r="68" spans="1:12" outlineLevel="2" x14ac:dyDescent="0.25">
      <c r="A68" s="534" t="s">
        <v>46</v>
      </c>
      <c r="B68" s="535" t="s">
        <v>37</v>
      </c>
      <c r="C68" s="535">
        <v>718006</v>
      </c>
      <c r="D68" s="9" t="s">
        <v>4</v>
      </c>
      <c r="E68" s="7">
        <f t="shared" si="12"/>
        <v>0</v>
      </c>
      <c r="F68" s="67">
        <v>0</v>
      </c>
      <c r="G68" s="68">
        <v>0</v>
      </c>
      <c r="H68" s="148">
        <v>0</v>
      </c>
      <c r="I68" s="148">
        <v>0</v>
      </c>
      <c r="J68" s="73">
        <v>0</v>
      </c>
    </row>
    <row r="69" spans="1:12" outlineLevel="2" x14ac:dyDescent="0.25">
      <c r="A69" s="534"/>
      <c r="B69" s="535"/>
      <c r="C69" s="535"/>
      <c r="D69" s="10" t="s">
        <v>5</v>
      </c>
      <c r="E69" s="7">
        <f t="shared" si="12"/>
        <v>0</v>
      </c>
      <c r="F69" s="69">
        <v>0</v>
      </c>
      <c r="G69" s="70">
        <v>0</v>
      </c>
      <c r="H69" s="149">
        <v>0</v>
      </c>
      <c r="I69" s="149">
        <v>0</v>
      </c>
      <c r="J69" s="74">
        <v>0</v>
      </c>
    </row>
    <row r="70" spans="1:12" outlineLevel="2" x14ac:dyDescent="0.25">
      <c r="A70" s="534"/>
      <c r="B70" s="535"/>
      <c r="C70" s="535"/>
      <c r="D70" s="10" t="s">
        <v>6</v>
      </c>
      <c r="E70" s="7">
        <f t="shared" si="12"/>
        <v>0</v>
      </c>
      <c r="F70" s="69">
        <v>0</v>
      </c>
      <c r="G70" s="70">
        <v>0</v>
      </c>
      <c r="H70" s="149">
        <v>0</v>
      </c>
      <c r="I70" s="149">
        <v>0</v>
      </c>
      <c r="J70" s="74">
        <v>0</v>
      </c>
    </row>
    <row r="71" spans="1:12" outlineLevel="2" x14ac:dyDescent="0.25">
      <c r="A71" s="534"/>
      <c r="B71" s="535"/>
      <c r="C71" s="535"/>
      <c r="D71" s="10" t="s">
        <v>7</v>
      </c>
      <c r="E71" s="7">
        <f t="shared" si="12"/>
        <v>0</v>
      </c>
      <c r="F71" s="69">
        <v>0</v>
      </c>
      <c r="G71" s="70">
        <v>0</v>
      </c>
      <c r="H71" s="149">
        <v>0</v>
      </c>
      <c r="I71" s="149">
        <v>0</v>
      </c>
      <c r="J71" s="74">
        <v>0</v>
      </c>
    </row>
    <row r="72" spans="1:12" outlineLevel="2" x14ac:dyDescent="0.25">
      <c r="A72" s="534"/>
      <c r="B72" s="535"/>
      <c r="C72" s="535"/>
      <c r="D72" s="10" t="s">
        <v>8</v>
      </c>
      <c r="E72" s="7">
        <f t="shared" si="12"/>
        <v>0</v>
      </c>
      <c r="F72" s="69">
        <v>0</v>
      </c>
      <c r="G72" s="70">
        <v>0</v>
      </c>
      <c r="H72" s="149">
        <v>0</v>
      </c>
      <c r="I72" s="149">
        <v>0</v>
      </c>
      <c r="J72" s="74">
        <v>0</v>
      </c>
    </row>
    <row r="73" spans="1:12" outlineLevel="2" x14ac:dyDescent="0.25">
      <c r="A73" s="534"/>
      <c r="B73" s="535"/>
      <c r="C73" s="535"/>
      <c r="D73" s="10" t="s">
        <v>9</v>
      </c>
      <c r="E73" s="7">
        <f t="shared" si="12"/>
        <v>0</v>
      </c>
      <c r="F73" s="69">
        <v>0</v>
      </c>
      <c r="G73" s="70">
        <v>0</v>
      </c>
      <c r="H73" s="149">
        <v>0</v>
      </c>
      <c r="I73" s="149">
        <v>0</v>
      </c>
      <c r="J73" s="74">
        <v>0</v>
      </c>
    </row>
    <row r="74" spans="1:12" outlineLevel="2" x14ac:dyDescent="0.25">
      <c r="A74" s="534"/>
      <c r="B74" s="535"/>
      <c r="C74" s="535"/>
      <c r="D74" s="10" t="s">
        <v>10</v>
      </c>
      <c r="E74" s="7">
        <f t="shared" si="12"/>
        <v>0</v>
      </c>
      <c r="F74" s="69">
        <v>0</v>
      </c>
      <c r="G74" s="70">
        <v>0</v>
      </c>
      <c r="H74" s="149">
        <v>0</v>
      </c>
      <c r="I74" s="149">
        <v>0</v>
      </c>
      <c r="J74" s="74">
        <v>0</v>
      </c>
    </row>
    <row r="75" spans="1:12" outlineLevel="2" x14ac:dyDescent="0.25">
      <c r="A75" s="534"/>
      <c r="B75" s="535"/>
      <c r="C75" s="535"/>
      <c r="D75" s="10" t="s">
        <v>11</v>
      </c>
      <c r="E75" s="7">
        <f t="shared" si="12"/>
        <v>0</v>
      </c>
      <c r="F75" s="69">
        <v>0</v>
      </c>
      <c r="G75" s="70">
        <v>0</v>
      </c>
      <c r="H75" s="149">
        <v>0</v>
      </c>
      <c r="I75" s="149">
        <v>0</v>
      </c>
      <c r="J75" s="74">
        <v>0</v>
      </c>
    </row>
    <row r="76" spans="1:12" outlineLevel="2" x14ac:dyDescent="0.25">
      <c r="A76" s="534"/>
      <c r="B76" s="535"/>
      <c r="C76" s="535"/>
      <c r="D76" s="10" t="s">
        <v>12</v>
      </c>
      <c r="E76" s="7">
        <f t="shared" si="12"/>
        <v>0</v>
      </c>
      <c r="F76" s="69">
        <v>0</v>
      </c>
      <c r="G76" s="70">
        <v>0</v>
      </c>
      <c r="H76" s="149">
        <v>0</v>
      </c>
      <c r="I76" s="149">
        <v>0</v>
      </c>
      <c r="J76" s="74">
        <v>0</v>
      </c>
    </row>
    <row r="77" spans="1:12" ht="15.75" outlineLevel="2" thickBot="1" x14ac:dyDescent="0.3">
      <c r="A77" s="534"/>
      <c r="B77" s="535"/>
      <c r="C77" s="535"/>
      <c r="D77" s="11" t="s">
        <v>13</v>
      </c>
      <c r="E77" s="8">
        <f t="shared" si="12"/>
        <v>0</v>
      </c>
      <c r="F77" s="71">
        <v>0</v>
      </c>
      <c r="G77" s="72">
        <v>0</v>
      </c>
      <c r="H77" s="150">
        <v>0</v>
      </c>
      <c r="I77" s="150">
        <v>0</v>
      </c>
      <c r="J77" s="75">
        <v>0</v>
      </c>
    </row>
    <row r="78" spans="1:12" ht="15.75" outlineLevel="1" thickBot="1" x14ac:dyDescent="0.3">
      <c r="A78" s="1" t="s">
        <v>71</v>
      </c>
      <c r="B78" s="1"/>
      <c r="C78" s="1"/>
      <c r="D78" s="2"/>
      <c r="E78" s="78">
        <f t="shared" ref="E78:I78" si="14">SUM(E79:E128)</f>
        <v>158649.40553603074</v>
      </c>
      <c r="F78" s="79">
        <f t="shared" si="14"/>
        <v>2492.3249238461535</v>
      </c>
      <c r="G78" s="79">
        <f t="shared" si="14"/>
        <v>95233.011222461544</v>
      </c>
      <c r="H78" s="156">
        <f t="shared" si="14"/>
        <v>25671.464535876934</v>
      </c>
      <c r="I78" s="156">
        <f t="shared" si="14"/>
        <v>6692.6048538461555</v>
      </c>
      <c r="J78" s="80">
        <f t="shared" ref="J78" si="15">SUM(J79:J128)</f>
        <v>28560</v>
      </c>
      <c r="K78" s="474" t="s">
        <v>340</v>
      </c>
      <c r="L78" s="475">
        <v>1.7500000000000002E-2</v>
      </c>
    </row>
    <row r="79" spans="1:12" ht="15.75" outlineLevel="2" thickBot="1" x14ac:dyDescent="0.3">
      <c r="A79" s="534" t="s">
        <v>47</v>
      </c>
      <c r="B79" s="535" t="s">
        <v>45</v>
      </c>
      <c r="C79" s="535">
        <v>635009</v>
      </c>
      <c r="D79" s="9" t="s">
        <v>4</v>
      </c>
      <c r="E79" s="13">
        <f t="shared" ref="E79:E110" si="16">SUM(F79:J79)</f>
        <v>0</v>
      </c>
      <c r="F79" s="58">
        <v>0</v>
      </c>
      <c r="G79" s="59">
        <v>0</v>
      </c>
      <c r="H79" s="152">
        <v>0</v>
      </c>
      <c r="I79" s="152">
        <v>0</v>
      </c>
      <c r="J79" s="60">
        <v>0</v>
      </c>
      <c r="K79" s="476" t="s">
        <v>341</v>
      </c>
      <c r="L79" s="477">
        <v>1.55E-2</v>
      </c>
    </row>
    <row r="80" spans="1:12" outlineLevel="2" x14ac:dyDescent="0.25">
      <c r="A80" s="534"/>
      <c r="B80" s="535"/>
      <c r="C80" s="535"/>
      <c r="D80" s="10" t="s">
        <v>5</v>
      </c>
      <c r="E80" s="14">
        <f t="shared" si="16"/>
        <v>4058.0474097692313</v>
      </c>
      <c r="F80" s="61">
        <f>F25*L78/2</f>
        <v>77.746321153846168</v>
      </c>
      <c r="G80" s="62">
        <f>G25*L78/2</f>
        <v>2970.7267315384615</v>
      </c>
      <c r="H80" s="153">
        <f>H25*L78/2</f>
        <v>800.80326092307712</v>
      </c>
      <c r="I80" s="153">
        <f>I25*L78/2</f>
        <v>208.7710961538462</v>
      </c>
      <c r="J80" s="63">
        <v>0</v>
      </c>
    </row>
    <row r="81" spans="1:10" outlineLevel="2" x14ac:dyDescent="0.25">
      <c r="A81" s="534"/>
      <c r="B81" s="535"/>
      <c r="C81" s="535"/>
      <c r="D81" s="10" t="s">
        <v>6</v>
      </c>
      <c r="E81" s="14">
        <f>SUM(F81:J81)</f>
        <v>8116.0948195384626</v>
      </c>
      <c r="F81" s="61">
        <f>F25*L78</f>
        <v>155.49264230769234</v>
      </c>
      <c r="G81" s="62">
        <f>G25*L78</f>
        <v>5941.4534630769231</v>
      </c>
      <c r="H81" s="153">
        <f>H25*L78</f>
        <v>1601.6065218461542</v>
      </c>
      <c r="I81" s="153">
        <f>I25*L78</f>
        <v>417.5421923076924</v>
      </c>
      <c r="J81" s="63">
        <f t="shared" ref="J81:J88" si="17">J80</f>
        <v>0</v>
      </c>
    </row>
    <row r="82" spans="1:10" outlineLevel="2" x14ac:dyDescent="0.25">
      <c r="A82" s="534"/>
      <c r="B82" s="535"/>
      <c r="C82" s="535"/>
      <c r="D82" s="10" t="s">
        <v>7</v>
      </c>
      <c r="E82" s="14">
        <f t="shared" si="16"/>
        <v>8116.0948195384626</v>
      </c>
      <c r="F82" s="61">
        <f>$F$81</f>
        <v>155.49264230769234</v>
      </c>
      <c r="G82" s="62">
        <f>$G$81</f>
        <v>5941.4534630769231</v>
      </c>
      <c r="H82" s="153">
        <f>$H$81</f>
        <v>1601.6065218461542</v>
      </c>
      <c r="I82" s="153">
        <f>$I$81</f>
        <v>417.5421923076924</v>
      </c>
      <c r="J82" s="63">
        <f t="shared" si="17"/>
        <v>0</v>
      </c>
    </row>
    <row r="83" spans="1:10" outlineLevel="2" x14ac:dyDescent="0.25">
      <c r="A83" s="534"/>
      <c r="B83" s="535"/>
      <c r="C83" s="535"/>
      <c r="D83" s="10" t="s">
        <v>8</v>
      </c>
      <c r="E83" s="14">
        <f t="shared" si="16"/>
        <v>8116.0948195384626</v>
      </c>
      <c r="F83" s="61">
        <f t="shared" ref="F83:F88" si="18">$F$81</f>
        <v>155.49264230769234</v>
      </c>
      <c r="G83" s="62">
        <f t="shared" ref="G83:G88" si="19">$G$81</f>
        <v>5941.4534630769231</v>
      </c>
      <c r="H83" s="153">
        <f t="shared" ref="H83:H88" si="20">$H$81</f>
        <v>1601.6065218461542</v>
      </c>
      <c r="I83" s="153">
        <f t="shared" ref="I83:I88" si="21">$I$81</f>
        <v>417.5421923076924</v>
      </c>
      <c r="J83" s="63">
        <f t="shared" si="17"/>
        <v>0</v>
      </c>
    </row>
    <row r="84" spans="1:10" outlineLevel="2" x14ac:dyDescent="0.25">
      <c r="A84" s="534"/>
      <c r="B84" s="535"/>
      <c r="C84" s="535"/>
      <c r="D84" s="10" t="s">
        <v>9</v>
      </c>
      <c r="E84" s="14">
        <f t="shared" si="16"/>
        <v>8116.0948195384626</v>
      </c>
      <c r="F84" s="61">
        <f t="shared" si="18"/>
        <v>155.49264230769234</v>
      </c>
      <c r="G84" s="62">
        <f t="shared" si="19"/>
        <v>5941.4534630769231</v>
      </c>
      <c r="H84" s="153">
        <f t="shared" si="20"/>
        <v>1601.6065218461542</v>
      </c>
      <c r="I84" s="153">
        <f t="shared" si="21"/>
        <v>417.5421923076924</v>
      </c>
      <c r="J84" s="63">
        <f t="shared" si="17"/>
        <v>0</v>
      </c>
    </row>
    <row r="85" spans="1:10" outlineLevel="2" x14ac:dyDescent="0.25">
      <c r="A85" s="534"/>
      <c r="B85" s="535"/>
      <c r="C85" s="535"/>
      <c r="D85" s="10" t="s">
        <v>10</v>
      </c>
      <c r="E85" s="14">
        <f t="shared" si="16"/>
        <v>8116.0948195384626</v>
      </c>
      <c r="F85" s="61">
        <f t="shared" si="18"/>
        <v>155.49264230769234</v>
      </c>
      <c r="G85" s="62">
        <f t="shared" si="19"/>
        <v>5941.4534630769231</v>
      </c>
      <c r="H85" s="153">
        <f t="shared" si="20"/>
        <v>1601.6065218461542</v>
      </c>
      <c r="I85" s="153">
        <f t="shared" si="21"/>
        <v>417.5421923076924</v>
      </c>
      <c r="J85" s="63">
        <f t="shared" si="17"/>
        <v>0</v>
      </c>
    </row>
    <row r="86" spans="1:10" outlineLevel="2" x14ac:dyDescent="0.25">
      <c r="A86" s="534"/>
      <c r="B86" s="535"/>
      <c r="C86" s="535"/>
      <c r="D86" s="10" t="s">
        <v>11</v>
      </c>
      <c r="E86" s="14">
        <f t="shared" si="16"/>
        <v>8116.0948195384626</v>
      </c>
      <c r="F86" s="61">
        <f t="shared" si="18"/>
        <v>155.49264230769234</v>
      </c>
      <c r="G86" s="62">
        <f t="shared" si="19"/>
        <v>5941.4534630769231</v>
      </c>
      <c r="H86" s="153">
        <f t="shared" si="20"/>
        <v>1601.6065218461542</v>
      </c>
      <c r="I86" s="153">
        <f t="shared" si="21"/>
        <v>417.5421923076924</v>
      </c>
      <c r="J86" s="63">
        <f t="shared" si="17"/>
        <v>0</v>
      </c>
    </row>
    <row r="87" spans="1:10" outlineLevel="2" x14ac:dyDescent="0.25">
      <c r="A87" s="534"/>
      <c r="B87" s="535"/>
      <c r="C87" s="535"/>
      <c r="D87" s="10" t="s">
        <v>12</v>
      </c>
      <c r="E87" s="14">
        <f t="shared" si="16"/>
        <v>8116.0948195384626</v>
      </c>
      <c r="F87" s="61">
        <f t="shared" si="18"/>
        <v>155.49264230769234</v>
      </c>
      <c r="G87" s="62">
        <f t="shared" si="19"/>
        <v>5941.4534630769231</v>
      </c>
      <c r="H87" s="153">
        <f t="shared" si="20"/>
        <v>1601.6065218461542</v>
      </c>
      <c r="I87" s="153">
        <f t="shared" si="21"/>
        <v>417.5421923076924</v>
      </c>
      <c r="J87" s="63">
        <f t="shared" si="17"/>
        <v>0</v>
      </c>
    </row>
    <row r="88" spans="1:10" ht="15.75" outlineLevel="2" thickBot="1" x14ac:dyDescent="0.3">
      <c r="A88" s="534"/>
      <c r="B88" s="535"/>
      <c r="C88" s="535"/>
      <c r="D88" s="11" t="s">
        <v>13</v>
      </c>
      <c r="E88" s="15">
        <f t="shared" si="16"/>
        <v>8116.0948195384626</v>
      </c>
      <c r="F88" s="61">
        <f t="shared" si="18"/>
        <v>155.49264230769234</v>
      </c>
      <c r="G88" s="62">
        <f t="shared" si="19"/>
        <v>5941.4534630769231</v>
      </c>
      <c r="H88" s="153">
        <f t="shared" si="20"/>
        <v>1601.6065218461542</v>
      </c>
      <c r="I88" s="153">
        <f t="shared" si="21"/>
        <v>417.5421923076924</v>
      </c>
      <c r="J88" s="66">
        <f t="shared" si="17"/>
        <v>0</v>
      </c>
    </row>
    <row r="89" spans="1:10" outlineLevel="2" x14ac:dyDescent="0.25">
      <c r="A89" s="534" t="s">
        <v>211</v>
      </c>
      <c r="B89" s="535" t="s">
        <v>42</v>
      </c>
      <c r="C89" s="535">
        <v>637005</v>
      </c>
      <c r="D89" s="9" t="s">
        <v>4</v>
      </c>
      <c r="E89" s="14">
        <f t="shared" si="16"/>
        <v>0</v>
      </c>
      <c r="F89" s="58">
        <v>0</v>
      </c>
      <c r="G89" s="59">
        <v>0</v>
      </c>
      <c r="H89" s="152">
        <v>0</v>
      </c>
      <c r="I89" s="152">
        <v>0</v>
      </c>
      <c r="J89" s="60">
        <v>0</v>
      </c>
    </row>
    <row r="90" spans="1:10" outlineLevel="2" x14ac:dyDescent="0.25">
      <c r="A90" s="534"/>
      <c r="B90" s="535"/>
      <c r="C90" s="535"/>
      <c r="D90" s="10" t="s">
        <v>5</v>
      </c>
      <c r="E90" s="14">
        <f t="shared" si="16"/>
        <v>3594.2705629384618</v>
      </c>
      <c r="F90" s="61">
        <f>F25*L79/2</f>
        <v>68.861027307692311</v>
      </c>
      <c r="G90" s="62">
        <f>G25*L79/2</f>
        <v>2631.215105076923</v>
      </c>
      <c r="H90" s="153">
        <f>H25*L79/2</f>
        <v>709.2828882461539</v>
      </c>
      <c r="I90" s="153">
        <f>I25*L79/2</f>
        <v>184.91154230769232</v>
      </c>
      <c r="J90" s="63">
        <v>0</v>
      </c>
    </row>
    <row r="91" spans="1:10" outlineLevel="2" x14ac:dyDescent="0.25">
      <c r="A91" s="534"/>
      <c r="B91" s="535"/>
      <c r="C91" s="535"/>
      <c r="D91" s="10" t="s">
        <v>6</v>
      </c>
      <c r="E91" s="14">
        <f t="shared" si="16"/>
        <v>7188.5411258769236</v>
      </c>
      <c r="F91" s="61">
        <f>F25*L79</f>
        <v>137.72205461538462</v>
      </c>
      <c r="G91" s="62">
        <f>G25*L79</f>
        <v>5262.430210153846</v>
      </c>
      <c r="H91" s="153">
        <f>H25*L79</f>
        <v>1418.5657764923078</v>
      </c>
      <c r="I91" s="153">
        <f>I25*L79</f>
        <v>369.82308461538463</v>
      </c>
      <c r="J91" s="63">
        <v>0</v>
      </c>
    </row>
    <row r="92" spans="1:10" outlineLevel="2" x14ac:dyDescent="0.25">
      <c r="A92" s="534"/>
      <c r="B92" s="535"/>
      <c r="C92" s="535"/>
      <c r="D92" s="10" t="s">
        <v>7</v>
      </c>
      <c r="E92" s="14">
        <f t="shared" si="16"/>
        <v>7188.5411258769236</v>
      </c>
      <c r="F92" s="61">
        <f>$F$91</f>
        <v>137.72205461538462</v>
      </c>
      <c r="G92" s="62">
        <f>$G$91</f>
        <v>5262.430210153846</v>
      </c>
      <c r="H92" s="153">
        <f>$H$91</f>
        <v>1418.5657764923078</v>
      </c>
      <c r="I92" s="153">
        <f>$I$91</f>
        <v>369.82308461538463</v>
      </c>
      <c r="J92" s="63">
        <v>0</v>
      </c>
    </row>
    <row r="93" spans="1:10" outlineLevel="2" x14ac:dyDescent="0.25">
      <c r="A93" s="534"/>
      <c r="B93" s="535"/>
      <c r="C93" s="535"/>
      <c r="D93" s="10" t="s">
        <v>8</v>
      </c>
      <c r="E93" s="14">
        <f t="shared" si="16"/>
        <v>7188.5411258769236</v>
      </c>
      <c r="F93" s="61">
        <f t="shared" ref="F93:F98" si="22">$F$91</f>
        <v>137.72205461538462</v>
      </c>
      <c r="G93" s="62">
        <f t="shared" ref="G93:G98" si="23">$G$91</f>
        <v>5262.430210153846</v>
      </c>
      <c r="H93" s="153">
        <f t="shared" ref="H93:H98" si="24">$H$91</f>
        <v>1418.5657764923078</v>
      </c>
      <c r="I93" s="153">
        <f t="shared" ref="I93:I98" si="25">$I$91</f>
        <v>369.82308461538463</v>
      </c>
      <c r="J93" s="63">
        <v>0</v>
      </c>
    </row>
    <row r="94" spans="1:10" outlineLevel="2" x14ac:dyDescent="0.25">
      <c r="A94" s="534"/>
      <c r="B94" s="535"/>
      <c r="C94" s="535"/>
      <c r="D94" s="10" t="s">
        <v>9</v>
      </c>
      <c r="E94" s="14">
        <f t="shared" si="16"/>
        <v>7188.5411258769236</v>
      </c>
      <c r="F94" s="61">
        <f t="shared" si="22"/>
        <v>137.72205461538462</v>
      </c>
      <c r="G94" s="62">
        <f t="shared" si="23"/>
        <v>5262.430210153846</v>
      </c>
      <c r="H94" s="153">
        <f t="shared" si="24"/>
        <v>1418.5657764923078</v>
      </c>
      <c r="I94" s="153">
        <f t="shared" si="25"/>
        <v>369.82308461538463</v>
      </c>
      <c r="J94" s="63">
        <v>0</v>
      </c>
    </row>
    <row r="95" spans="1:10" outlineLevel="2" x14ac:dyDescent="0.25">
      <c r="A95" s="534"/>
      <c r="B95" s="535"/>
      <c r="C95" s="535"/>
      <c r="D95" s="10" t="s">
        <v>10</v>
      </c>
      <c r="E95" s="14">
        <f t="shared" si="16"/>
        <v>7188.5411258769236</v>
      </c>
      <c r="F95" s="61">
        <f t="shared" si="22"/>
        <v>137.72205461538462</v>
      </c>
      <c r="G95" s="62">
        <f t="shared" si="23"/>
        <v>5262.430210153846</v>
      </c>
      <c r="H95" s="153">
        <f t="shared" si="24"/>
        <v>1418.5657764923078</v>
      </c>
      <c r="I95" s="153">
        <f t="shared" si="25"/>
        <v>369.82308461538463</v>
      </c>
      <c r="J95" s="63">
        <v>0</v>
      </c>
    </row>
    <row r="96" spans="1:10" outlineLevel="2" x14ac:dyDescent="0.25">
      <c r="A96" s="534"/>
      <c r="B96" s="535"/>
      <c r="C96" s="535"/>
      <c r="D96" s="10" t="s">
        <v>11</v>
      </c>
      <c r="E96" s="14">
        <f t="shared" si="16"/>
        <v>7188.5411258769236</v>
      </c>
      <c r="F96" s="61">
        <f t="shared" si="22"/>
        <v>137.72205461538462</v>
      </c>
      <c r="G96" s="62">
        <f t="shared" si="23"/>
        <v>5262.430210153846</v>
      </c>
      <c r="H96" s="153">
        <f t="shared" si="24"/>
        <v>1418.5657764923078</v>
      </c>
      <c r="I96" s="153">
        <f t="shared" si="25"/>
        <v>369.82308461538463</v>
      </c>
      <c r="J96" s="63">
        <v>0</v>
      </c>
    </row>
    <row r="97" spans="1:12" outlineLevel="2" x14ac:dyDescent="0.25">
      <c r="A97" s="534"/>
      <c r="B97" s="535"/>
      <c r="C97" s="535"/>
      <c r="D97" s="10" t="s">
        <v>12</v>
      </c>
      <c r="E97" s="14">
        <f t="shared" si="16"/>
        <v>7188.5411258769236</v>
      </c>
      <c r="F97" s="61">
        <f t="shared" si="22"/>
        <v>137.72205461538462</v>
      </c>
      <c r="G97" s="62">
        <f t="shared" si="23"/>
        <v>5262.430210153846</v>
      </c>
      <c r="H97" s="153">
        <f t="shared" si="24"/>
        <v>1418.5657764923078</v>
      </c>
      <c r="I97" s="153">
        <f t="shared" si="25"/>
        <v>369.82308461538463</v>
      </c>
      <c r="J97" s="63">
        <v>0</v>
      </c>
    </row>
    <row r="98" spans="1:12" ht="15.75" outlineLevel="2" thickBot="1" x14ac:dyDescent="0.3">
      <c r="A98" s="534"/>
      <c r="B98" s="535"/>
      <c r="C98" s="535"/>
      <c r="D98" s="11" t="s">
        <v>13</v>
      </c>
      <c r="E98" s="15">
        <f t="shared" si="16"/>
        <v>7188.5411258769236</v>
      </c>
      <c r="F98" s="61">
        <f t="shared" si="22"/>
        <v>137.72205461538462</v>
      </c>
      <c r="G98" s="62">
        <f t="shared" si="23"/>
        <v>5262.430210153846</v>
      </c>
      <c r="H98" s="153">
        <f t="shared" si="24"/>
        <v>1418.5657764923078</v>
      </c>
      <c r="I98" s="153">
        <f t="shared" si="25"/>
        <v>369.82308461538463</v>
      </c>
      <c r="J98" s="66">
        <v>0</v>
      </c>
    </row>
    <row r="99" spans="1:12" outlineLevel="2" x14ac:dyDescent="0.25">
      <c r="A99" s="534" t="s">
        <v>49</v>
      </c>
      <c r="B99" s="535" t="s">
        <v>37</v>
      </c>
      <c r="C99" s="535">
        <v>718006</v>
      </c>
      <c r="D99" s="9" t="s">
        <v>4</v>
      </c>
      <c r="E99" s="14">
        <f t="shared" si="16"/>
        <v>0</v>
      </c>
      <c r="F99" s="58">
        <v>0</v>
      </c>
      <c r="G99" s="59">
        <v>0</v>
      </c>
      <c r="H99" s="152">
        <v>0</v>
      </c>
      <c r="I99" s="152">
        <v>0</v>
      </c>
      <c r="J99" s="60">
        <v>0</v>
      </c>
    </row>
    <row r="100" spans="1:12" outlineLevel="2" x14ac:dyDescent="0.25">
      <c r="A100" s="534"/>
      <c r="B100" s="535"/>
      <c r="C100" s="535"/>
      <c r="D100" s="10" t="s">
        <v>5</v>
      </c>
      <c r="E100" s="14">
        <f t="shared" si="16"/>
        <v>0</v>
      </c>
      <c r="F100" s="61">
        <v>0</v>
      </c>
      <c r="G100" s="62">
        <v>0</v>
      </c>
      <c r="H100" s="153">
        <v>0</v>
      </c>
      <c r="I100" s="153">
        <v>0</v>
      </c>
      <c r="J100" s="63">
        <v>0</v>
      </c>
    </row>
    <row r="101" spans="1:12" outlineLevel="2" x14ac:dyDescent="0.25">
      <c r="A101" s="534"/>
      <c r="B101" s="535"/>
      <c r="C101" s="535"/>
      <c r="D101" s="10" t="s">
        <v>6</v>
      </c>
      <c r="E101" s="14">
        <f t="shared" si="16"/>
        <v>0</v>
      </c>
      <c r="F101" s="61">
        <v>0</v>
      </c>
      <c r="G101" s="62">
        <v>0</v>
      </c>
      <c r="H101" s="153">
        <v>0</v>
      </c>
      <c r="I101" s="153">
        <v>0</v>
      </c>
      <c r="J101" s="63">
        <v>0</v>
      </c>
    </row>
    <row r="102" spans="1:12" outlineLevel="2" x14ac:dyDescent="0.25">
      <c r="A102" s="534"/>
      <c r="B102" s="535"/>
      <c r="C102" s="535"/>
      <c r="D102" s="10" t="s">
        <v>7</v>
      </c>
      <c r="E102" s="14">
        <f t="shared" si="16"/>
        <v>0</v>
      </c>
      <c r="F102" s="61">
        <v>0</v>
      </c>
      <c r="G102" s="62">
        <v>0</v>
      </c>
      <c r="H102" s="153">
        <v>0</v>
      </c>
      <c r="I102" s="153">
        <v>0</v>
      </c>
      <c r="J102" s="63">
        <v>0</v>
      </c>
    </row>
    <row r="103" spans="1:12" outlineLevel="2" x14ac:dyDescent="0.25">
      <c r="A103" s="534"/>
      <c r="B103" s="535"/>
      <c r="C103" s="535"/>
      <c r="D103" s="10" t="s">
        <v>8</v>
      </c>
      <c r="E103" s="14">
        <f t="shared" si="16"/>
        <v>0</v>
      </c>
      <c r="F103" s="61">
        <v>0</v>
      </c>
      <c r="G103" s="62">
        <v>0</v>
      </c>
      <c r="H103" s="153">
        <v>0</v>
      </c>
      <c r="I103" s="153">
        <v>0</v>
      </c>
      <c r="J103" s="63">
        <v>0</v>
      </c>
    </row>
    <row r="104" spans="1:12" outlineLevel="2" x14ac:dyDescent="0.25">
      <c r="A104" s="534"/>
      <c r="B104" s="535"/>
      <c r="C104" s="535"/>
      <c r="D104" s="10" t="s">
        <v>9</v>
      </c>
      <c r="E104" s="14">
        <f t="shared" si="16"/>
        <v>0</v>
      </c>
      <c r="F104" s="61">
        <v>0</v>
      </c>
      <c r="G104" s="62">
        <v>0</v>
      </c>
      <c r="H104" s="153">
        <v>0</v>
      </c>
      <c r="I104" s="153">
        <v>0</v>
      </c>
      <c r="J104" s="63">
        <v>0</v>
      </c>
    </row>
    <row r="105" spans="1:12" outlineLevel="2" x14ac:dyDescent="0.25">
      <c r="A105" s="534"/>
      <c r="B105" s="535"/>
      <c r="C105" s="535"/>
      <c r="D105" s="10" t="s">
        <v>10</v>
      </c>
      <c r="E105" s="14">
        <f t="shared" si="16"/>
        <v>0</v>
      </c>
      <c r="F105" s="61">
        <v>0</v>
      </c>
      <c r="G105" s="62">
        <v>0</v>
      </c>
      <c r="H105" s="153">
        <v>0</v>
      </c>
      <c r="I105" s="153">
        <v>0</v>
      </c>
      <c r="J105" s="63">
        <v>0</v>
      </c>
    </row>
    <row r="106" spans="1:12" outlineLevel="2" x14ac:dyDescent="0.25">
      <c r="A106" s="534"/>
      <c r="B106" s="535"/>
      <c r="C106" s="535"/>
      <c r="D106" s="10" t="s">
        <v>11</v>
      </c>
      <c r="E106" s="14">
        <f t="shared" si="16"/>
        <v>0</v>
      </c>
      <c r="F106" s="61">
        <v>0</v>
      </c>
      <c r="G106" s="62">
        <v>0</v>
      </c>
      <c r="H106" s="153">
        <v>0</v>
      </c>
      <c r="I106" s="153">
        <v>0</v>
      </c>
      <c r="J106" s="63">
        <v>0</v>
      </c>
    </row>
    <row r="107" spans="1:12" outlineLevel="2" x14ac:dyDescent="0.25">
      <c r="A107" s="534"/>
      <c r="B107" s="535"/>
      <c r="C107" s="535"/>
      <c r="D107" s="10" t="s">
        <v>12</v>
      </c>
      <c r="E107" s="14">
        <f t="shared" si="16"/>
        <v>0</v>
      </c>
      <c r="F107" s="61">
        <v>0</v>
      </c>
      <c r="G107" s="62">
        <v>0</v>
      </c>
      <c r="H107" s="153">
        <v>0</v>
      </c>
      <c r="I107" s="153">
        <v>0</v>
      </c>
      <c r="J107" s="63">
        <v>0</v>
      </c>
    </row>
    <row r="108" spans="1:12" ht="15.75" outlineLevel="2" thickBot="1" x14ac:dyDescent="0.3">
      <c r="A108" s="534"/>
      <c r="B108" s="535"/>
      <c r="C108" s="535"/>
      <c r="D108" s="11" t="s">
        <v>13</v>
      </c>
      <c r="E108" s="15">
        <f t="shared" si="16"/>
        <v>0</v>
      </c>
      <c r="F108" s="64">
        <v>0</v>
      </c>
      <c r="G108" s="65">
        <v>0</v>
      </c>
      <c r="H108" s="154">
        <v>0</v>
      </c>
      <c r="I108" s="154">
        <v>0</v>
      </c>
      <c r="J108" s="66">
        <v>0</v>
      </c>
    </row>
    <row r="109" spans="1:12" outlineLevel="2" x14ac:dyDescent="0.25">
      <c r="A109" s="534" t="s">
        <v>50</v>
      </c>
      <c r="B109" s="535" t="s">
        <v>51</v>
      </c>
      <c r="C109" s="535">
        <v>610</v>
      </c>
      <c r="D109" s="9" t="s">
        <v>4</v>
      </c>
      <c r="E109" s="14">
        <f t="shared" si="16"/>
        <v>0</v>
      </c>
      <c r="F109" s="58">
        <v>0</v>
      </c>
      <c r="G109" s="59">
        <v>0</v>
      </c>
      <c r="H109" s="152">
        <v>0</v>
      </c>
      <c r="I109" s="152">
        <v>0</v>
      </c>
      <c r="J109" s="60">
        <v>0</v>
      </c>
      <c r="K109" s="474" t="s">
        <v>461</v>
      </c>
      <c r="L109" s="490">
        <v>1400</v>
      </c>
    </row>
    <row r="110" spans="1:12" outlineLevel="2" x14ac:dyDescent="0.25">
      <c r="A110" s="534"/>
      <c r="B110" s="535"/>
      <c r="C110" s="535"/>
      <c r="D110" s="10" t="s">
        <v>5</v>
      </c>
      <c r="E110" s="14">
        <f t="shared" si="16"/>
        <v>1680</v>
      </c>
      <c r="F110" s="61">
        <v>0</v>
      </c>
      <c r="G110" s="62">
        <v>0</v>
      </c>
      <c r="H110" s="153">
        <v>0</v>
      </c>
      <c r="I110" s="153">
        <v>0</v>
      </c>
      <c r="J110" s="63">
        <f>L112/2</f>
        <v>1680</v>
      </c>
      <c r="K110" s="491" t="s">
        <v>462</v>
      </c>
      <c r="L110" s="492">
        <f>L109*12</f>
        <v>16800</v>
      </c>
    </row>
    <row r="111" spans="1:12" outlineLevel="2" x14ac:dyDescent="0.25">
      <c r="A111" s="534"/>
      <c r="B111" s="535"/>
      <c r="C111" s="535"/>
      <c r="D111" s="10" t="s">
        <v>6</v>
      </c>
      <c r="E111" s="14">
        <f t="shared" ref="E111:E128" si="26">SUM(F111:J111)</f>
        <v>3360</v>
      </c>
      <c r="F111" s="61">
        <v>0</v>
      </c>
      <c r="G111" s="62">
        <v>0</v>
      </c>
      <c r="H111" s="153">
        <v>0</v>
      </c>
      <c r="I111" s="153">
        <v>0</v>
      </c>
      <c r="J111" s="63">
        <f>$L$112</f>
        <v>3360</v>
      </c>
      <c r="K111" s="491" t="s">
        <v>464</v>
      </c>
      <c r="L111" s="492">
        <f>1/5</f>
        <v>0.2</v>
      </c>
    </row>
    <row r="112" spans="1:12" ht="15.75" outlineLevel="2" thickBot="1" x14ac:dyDescent="0.3">
      <c r="A112" s="534"/>
      <c r="B112" s="535"/>
      <c r="C112" s="535"/>
      <c r="D112" s="10" t="s">
        <v>7</v>
      </c>
      <c r="E112" s="14">
        <f t="shared" si="26"/>
        <v>3360</v>
      </c>
      <c r="F112" s="61">
        <v>0</v>
      </c>
      <c r="G112" s="62">
        <v>0</v>
      </c>
      <c r="H112" s="153">
        <v>0</v>
      </c>
      <c r="I112" s="153">
        <v>0</v>
      </c>
      <c r="J112" s="63">
        <f t="shared" ref="J112:J118" si="27">$L$112</f>
        <v>3360</v>
      </c>
      <c r="K112" s="476" t="s">
        <v>463</v>
      </c>
      <c r="L112" s="493">
        <f>L110*L111</f>
        <v>3360</v>
      </c>
    </row>
    <row r="113" spans="1:10" outlineLevel="2" x14ac:dyDescent="0.25">
      <c r="A113" s="534"/>
      <c r="B113" s="535"/>
      <c r="C113" s="535"/>
      <c r="D113" s="10" t="s">
        <v>8</v>
      </c>
      <c r="E113" s="14">
        <f t="shared" si="26"/>
        <v>3360</v>
      </c>
      <c r="F113" s="61">
        <v>0</v>
      </c>
      <c r="G113" s="62">
        <v>0</v>
      </c>
      <c r="H113" s="153">
        <v>0</v>
      </c>
      <c r="I113" s="153">
        <v>0</v>
      </c>
      <c r="J113" s="63">
        <f t="shared" si="27"/>
        <v>3360</v>
      </c>
    </row>
    <row r="114" spans="1:10" outlineLevel="2" x14ac:dyDescent="0.25">
      <c r="A114" s="534"/>
      <c r="B114" s="535"/>
      <c r="C114" s="535"/>
      <c r="D114" s="10" t="s">
        <v>9</v>
      </c>
      <c r="E114" s="14">
        <f t="shared" si="26"/>
        <v>3360</v>
      </c>
      <c r="F114" s="61">
        <v>0</v>
      </c>
      <c r="G114" s="62">
        <v>0</v>
      </c>
      <c r="H114" s="153">
        <v>0</v>
      </c>
      <c r="I114" s="153">
        <v>0</v>
      </c>
      <c r="J114" s="63">
        <f t="shared" si="27"/>
        <v>3360</v>
      </c>
    </row>
    <row r="115" spans="1:10" outlineLevel="2" x14ac:dyDescent="0.25">
      <c r="A115" s="534"/>
      <c r="B115" s="535"/>
      <c r="C115" s="535"/>
      <c r="D115" s="10" t="s">
        <v>10</v>
      </c>
      <c r="E115" s="14">
        <f t="shared" si="26"/>
        <v>3360</v>
      </c>
      <c r="F115" s="61">
        <v>0</v>
      </c>
      <c r="G115" s="62">
        <v>0</v>
      </c>
      <c r="H115" s="153">
        <v>0</v>
      </c>
      <c r="I115" s="153">
        <v>0</v>
      </c>
      <c r="J115" s="63">
        <f t="shared" si="27"/>
        <v>3360</v>
      </c>
    </row>
    <row r="116" spans="1:10" outlineLevel="2" x14ac:dyDescent="0.25">
      <c r="A116" s="534"/>
      <c r="B116" s="535"/>
      <c r="C116" s="535"/>
      <c r="D116" s="10" t="s">
        <v>11</v>
      </c>
      <c r="E116" s="14">
        <f t="shared" si="26"/>
        <v>3360</v>
      </c>
      <c r="F116" s="61">
        <v>0</v>
      </c>
      <c r="G116" s="62">
        <v>0</v>
      </c>
      <c r="H116" s="153">
        <v>0</v>
      </c>
      <c r="I116" s="153">
        <v>0</v>
      </c>
      <c r="J116" s="63">
        <f t="shared" si="27"/>
        <v>3360</v>
      </c>
    </row>
    <row r="117" spans="1:10" outlineLevel="2" x14ac:dyDescent="0.25">
      <c r="A117" s="534"/>
      <c r="B117" s="535"/>
      <c r="C117" s="535"/>
      <c r="D117" s="10" t="s">
        <v>12</v>
      </c>
      <c r="E117" s="14">
        <f t="shared" si="26"/>
        <v>3360</v>
      </c>
      <c r="F117" s="61">
        <v>0</v>
      </c>
      <c r="G117" s="62">
        <v>0</v>
      </c>
      <c r="H117" s="153">
        <v>0</v>
      </c>
      <c r="I117" s="153">
        <v>0</v>
      </c>
      <c r="J117" s="63">
        <f t="shared" si="27"/>
        <v>3360</v>
      </c>
    </row>
    <row r="118" spans="1:10" ht="15.75" outlineLevel="2" thickBot="1" x14ac:dyDescent="0.3">
      <c r="A118" s="534"/>
      <c r="B118" s="535"/>
      <c r="C118" s="535"/>
      <c r="D118" s="11" t="s">
        <v>13</v>
      </c>
      <c r="E118" s="15">
        <f t="shared" si="26"/>
        <v>3360</v>
      </c>
      <c r="F118" s="64">
        <v>0</v>
      </c>
      <c r="G118" s="65">
        <v>0</v>
      </c>
      <c r="H118" s="154">
        <v>0</v>
      </c>
      <c r="I118" s="154">
        <v>0</v>
      </c>
      <c r="J118" s="63">
        <f t="shared" si="27"/>
        <v>3360</v>
      </c>
    </row>
    <row r="119" spans="1:10" outlineLevel="2" x14ac:dyDescent="0.25">
      <c r="A119" s="534" t="s">
        <v>41</v>
      </c>
      <c r="B119" s="535" t="s">
        <v>42</v>
      </c>
      <c r="C119" s="535">
        <v>637001</v>
      </c>
      <c r="D119" s="9" t="s">
        <v>4</v>
      </c>
      <c r="E119" s="14">
        <f t="shared" si="26"/>
        <v>0</v>
      </c>
      <c r="F119" s="58">
        <v>0</v>
      </c>
      <c r="G119" s="59">
        <v>0</v>
      </c>
      <c r="H119" s="152">
        <v>0</v>
      </c>
      <c r="I119" s="152">
        <v>0</v>
      </c>
      <c r="J119" s="60">
        <v>0</v>
      </c>
    </row>
    <row r="120" spans="1:10" outlineLevel="2" x14ac:dyDescent="0.25">
      <c r="A120" s="534"/>
      <c r="B120" s="535"/>
      <c r="C120" s="535"/>
      <c r="D120" s="10" t="s">
        <v>5</v>
      </c>
      <c r="E120" s="14">
        <f t="shared" si="26"/>
        <v>0</v>
      </c>
      <c r="F120" s="61">
        <v>0</v>
      </c>
      <c r="G120" s="62">
        <v>0</v>
      </c>
      <c r="H120" s="153">
        <v>0</v>
      </c>
      <c r="I120" s="153">
        <v>0</v>
      </c>
      <c r="J120" s="63">
        <v>0</v>
      </c>
    </row>
    <row r="121" spans="1:10" outlineLevel="2" x14ac:dyDescent="0.25">
      <c r="A121" s="534"/>
      <c r="B121" s="535"/>
      <c r="C121" s="535"/>
      <c r="D121" s="10" t="s">
        <v>6</v>
      </c>
      <c r="E121" s="14">
        <f t="shared" si="26"/>
        <v>0</v>
      </c>
      <c r="F121" s="61">
        <v>0</v>
      </c>
      <c r="G121" s="62">
        <v>0</v>
      </c>
      <c r="H121" s="153">
        <v>0</v>
      </c>
      <c r="I121" s="153">
        <v>0</v>
      </c>
      <c r="J121" s="63">
        <v>0</v>
      </c>
    </row>
    <row r="122" spans="1:10" outlineLevel="2" x14ac:dyDescent="0.25">
      <c r="A122" s="534"/>
      <c r="B122" s="535"/>
      <c r="C122" s="535"/>
      <c r="D122" s="10" t="s">
        <v>7</v>
      </c>
      <c r="E122" s="14">
        <f t="shared" si="26"/>
        <v>0</v>
      </c>
      <c r="F122" s="61">
        <v>0</v>
      </c>
      <c r="G122" s="62">
        <v>0</v>
      </c>
      <c r="H122" s="153">
        <v>0</v>
      </c>
      <c r="I122" s="153">
        <v>0</v>
      </c>
      <c r="J122" s="63">
        <v>0</v>
      </c>
    </row>
    <row r="123" spans="1:10" outlineLevel="2" x14ac:dyDescent="0.25">
      <c r="A123" s="534"/>
      <c r="B123" s="535"/>
      <c r="C123" s="535"/>
      <c r="D123" s="10" t="s">
        <v>8</v>
      </c>
      <c r="E123" s="14">
        <f t="shared" si="26"/>
        <v>0</v>
      </c>
      <c r="F123" s="61">
        <v>0</v>
      </c>
      <c r="G123" s="62">
        <v>0</v>
      </c>
      <c r="H123" s="153">
        <v>0</v>
      </c>
      <c r="I123" s="153">
        <v>0</v>
      </c>
      <c r="J123" s="63">
        <v>0</v>
      </c>
    </row>
    <row r="124" spans="1:10" outlineLevel="2" x14ac:dyDescent="0.25">
      <c r="A124" s="534"/>
      <c r="B124" s="535"/>
      <c r="C124" s="535"/>
      <c r="D124" s="10" t="s">
        <v>9</v>
      </c>
      <c r="E124" s="14">
        <f t="shared" si="26"/>
        <v>0</v>
      </c>
      <c r="F124" s="61">
        <v>0</v>
      </c>
      <c r="G124" s="62">
        <v>0</v>
      </c>
      <c r="H124" s="153">
        <v>0</v>
      </c>
      <c r="I124" s="153">
        <v>0</v>
      </c>
      <c r="J124" s="63">
        <v>0</v>
      </c>
    </row>
    <row r="125" spans="1:10" outlineLevel="2" x14ac:dyDescent="0.25">
      <c r="A125" s="534"/>
      <c r="B125" s="535"/>
      <c r="C125" s="535"/>
      <c r="D125" s="10" t="s">
        <v>10</v>
      </c>
      <c r="E125" s="14">
        <f t="shared" si="26"/>
        <v>0</v>
      </c>
      <c r="F125" s="61">
        <v>0</v>
      </c>
      <c r="G125" s="62">
        <v>0</v>
      </c>
      <c r="H125" s="153">
        <v>0</v>
      </c>
      <c r="I125" s="153">
        <v>0</v>
      </c>
      <c r="J125" s="63">
        <v>0</v>
      </c>
    </row>
    <row r="126" spans="1:10" outlineLevel="2" x14ac:dyDescent="0.25">
      <c r="A126" s="534"/>
      <c r="B126" s="535"/>
      <c r="C126" s="535"/>
      <c r="D126" s="10" t="s">
        <v>11</v>
      </c>
      <c r="E126" s="14">
        <f t="shared" si="26"/>
        <v>0</v>
      </c>
      <c r="F126" s="61">
        <v>0</v>
      </c>
      <c r="G126" s="62">
        <v>0</v>
      </c>
      <c r="H126" s="153">
        <v>0</v>
      </c>
      <c r="I126" s="153">
        <v>0</v>
      </c>
      <c r="J126" s="63">
        <v>0</v>
      </c>
    </row>
    <row r="127" spans="1:10" outlineLevel="2" x14ac:dyDescent="0.25">
      <c r="A127" s="534"/>
      <c r="B127" s="535"/>
      <c r="C127" s="535"/>
      <c r="D127" s="10" t="s">
        <v>12</v>
      </c>
      <c r="E127" s="14">
        <f t="shared" si="26"/>
        <v>0</v>
      </c>
      <c r="F127" s="61">
        <v>0</v>
      </c>
      <c r="G127" s="62">
        <v>0</v>
      </c>
      <c r="H127" s="153">
        <v>0</v>
      </c>
      <c r="I127" s="153">
        <v>0</v>
      </c>
      <c r="J127" s="63">
        <v>0</v>
      </c>
    </row>
    <row r="128" spans="1:10" ht="15.75" outlineLevel="2" thickBot="1" x14ac:dyDescent="0.3">
      <c r="A128" s="534"/>
      <c r="B128" s="535"/>
      <c r="C128" s="535"/>
      <c r="D128" s="11" t="s">
        <v>13</v>
      </c>
      <c r="E128" s="15">
        <f t="shared" si="26"/>
        <v>0</v>
      </c>
      <c r="F128" s="64">
        <v>0</v>
      </c>
      <c r="G128" s="65">
        <v>0</v>
      </c>
      <c r="H128" s="154">
        <v>0</v>
      </c>
      <c r="I128" s="154">
        <v>0</v>
      </c>
      <c r="J128" s="66">
        <v>0</v>
      </c>
    </row>
    <row r="129" spans="1:12" ht="15.75" thickBot="1" x14ac:dyDescent="0.3">
      <c r="A129" s="1" t="s">
        <v>178</v>
      </c>
      <c r="B129" s="1"/>
      <c r="C129" s="1"/>
      <c r="D129" s="2"/>
      <c r="E129" s="78">
        <f t="shared" ref="E129:I129" si="28">SUM(E130:E149)</f>
        <v>22726.185000000001</v>
      </c>
      <c r="F129" s="79">
        <f t="shared" si="28"/>
        <v>0</v>
      </c>
      <c r="G129" s="79">
        <f t="shared" si="28"/>
        <v>0</v>
      </c>
      <c r="H129" s="156">
        <f t="shared" si="28"/>
        <v>0</v>
      </c>
      <c r="I129" s="156">
        <f t="shared" si="28"/>
        <v>0</v>
      </c>
      <c r="J129" s="80">
        <f t="shared" ref="J129" si="29">SUM(J130:J149)</f>
        <v>22726.185000000001</v>
      </c>
    </row>
    <row r="130" spans="1:12" x14ac:dyDescent="0.25">
      <c r="A130" s="534" t="s">
        <v>179</v>
      </c>
      <c r="B130" s="535"/>
      <c r="C130" s="535"/>
      <c r="D130" s="9" t="s">
        <v>4</v>
      </c>
      <c r="E130" s="13">
        <f t="shared" ref="E130:E149" si="30">SUM(F130:J130)</f>
        <v>20282.985000000001</v>
      </c>
      <c r="F130" s="58">
        <v>0</v>
      </c>
      <c r="G130" s="59">
        <v>0</v>
      </c>
      <c r="H130" s="152">
        <v>0</v>
      </c>
      <c r="I130" s="152">
        <v>0</v>
      </c>
      <c r="J130" s="60">
        <f>'Nepriame výdavky'!G14</f>
        <v>20282.985000000001</v>
      </c>
    </row>
    <row r="131" spans="1:12" x14ac:dyDescent="0.25">
      <c r="A131" s="534"/>
      <c r="B131" s="535"/>
      <c r="C131" s="535"/>
      <c r="D131" s="10" t="s">
        <v>5</v>
      </c>
      <c r="E131" s="14">
        <f t="shared" si="30"/>
        <v>0</v>
      </c>
      <c r="F131" s="61">
        <v>0</v>
      </c>
      <c r="G131" s="62">
        <v>0</v>
      </c>
      <c r="H131" s="153">
        <v>0</v>
      </c>
      <c r="I131" s="153">
        <v>0</v>
      </c>
      <c r="J131" s="63">
        <v>0</v>
      </c>
    </row>
    <row r="132" spans="1:12" x14ac:dyDescent="0.25">
      <c r="A132" s="534"/>
      <c r="B132" s="535"/>
      <c r="C132" s="535"/>
      <c r="D132" s="10" t="s">
        <v>6</v>
      </c>
      <c r="E132" s="14">
        <f t="shared" si="30"/>
        <v>0</v>
      </c>
      <c r="F132" s="61">
        <v>0</v>
      </c>
      <c r="G132" s="62">
        <v>0</v>
      </c>
      <c r="H132" s="153">
        <v>0</v>
      </c>
      <c r="I132" s="153">
        <v>0</v>
      </c>
      <c r="J132" s="63">
        <v>0</v>
      </c>
    </row>
    <row r="133" spans="1:12" x14ac:dyDescent="0.25">
      <c r="A133" s="534"/>
      <c r="B133" s="535"/>
      <c r="C133" s="535"/>
      <c r="D133" s="10" t="s">
        <v>7</v>
      </c>
      <c r="E133" s="14">
        <f t="shared" si="30"/>
        <v>0</v>
      </c>
      <c r="F133" s="61">
        <v>0</v>
      </c>
      <c r="G133" s="62">
        <v>0</v>
      </c>
      <c r="H133" s="153">
        <v>0</v>
      </c>
      <c r="I133" s="153">
        <v>0</v>
      </c>
      <c r="J133" s="63">
        <v>0</v>
      </c>
    </row>
    <row r="134" spans="1:12" x14ac:dyDescent="0.25">
      <c r="A134" s="534"/>
      <c r="B134" s="535"/>
      <c r="C134" s="535"/>
      <c r="D134" s="10" t="s">
        <v>8</v>
      </c>
      <c r="E134" s="14">
        <f t="shared" si="30"/>
        <v>0</v>
      </c>
      <c r="F134" s="61">
        <v>0</v>
      </c>
      <c r="G134" s="62">
        <v>0</v>
      </c>
      <c r="H134" s="153">
        <v>0</v>
      </c>
      <c r="I134" s="153">
        <v>0</v>
      </c>
      <c r="J134" s="63">
        <v>0</v>
      </c>
    </row>
    <row r="135" spans="1:12" x14ac:dyDescent="0.25">
      <c r="A135" s="534"/>
      <c r="B135" s="535"/>
      <c r="C135" s="535"/>
      <c r="D135" s="10" t="s">
        <v>9</v>
      </c>
      <c r="E135" s="14">
        <f t="shared" si="30"/>
        <v>0</v>
      </c>
      <c r="F135" s="61">
        <v>0</v>
      </c>
      <c r="G135" s="62">
        <v>0</v>
      </c>
      <c r="H135" s="153">
        <v>0</v>
      </c>
      <c r="I135" s="153">
        <v>0</v>
      </c>
      <c r="J135" s="63">
        <v>0</v>
      </c>
    </row>
    <row r="136" spans="1:12" x14ac:dyDescent="0.25">
      <c r="A136" s="534"/>
      <c r="B136" s="535"/>
      <c r="C136" s="535"/>
      <c r="D136" s="10" t="s">
        <v>10</v>
      </c>
      <c r="E136" s="14">
        <f t="shared" si="30"/>
        <v>0</v>
      </c>
      <c r="F136" s="61">
        <v>0</v>
      </c>
      <c r="G136" s="62">
        <v>0</v>
      </c>
      <c r="H136" s="153">
        <v>0</v>
      </c>
      <c r="I136" s="153">
        <v>0</v>
      </c>
      <c r="J136" s="63">
        <v>0</v>
      </c>
    </row>
    <row r="137" spans="1:12" x14ac:dyDescent="0.25">
      <c r="A137" s="534"/>
      <c r="B137" s="535"/>
      <c r="C137" s="535"/>
      <c r="D137" s="10" t="s">
        <v>11</v>
      </c>
      <c r="E137" s="14">
        <f t="shared" si="30"/>
        <v>0</v>
      </c>
      <c r="F137" s="61">
        <v>0</v>
      </c>
      <c r="G137" s="62">
        <v>0</v>
      </c>
      <c r="H137" s="153">
        <v>0</v>
      </c>
      <c r="I137" s="153">
        <v>0</v>
      </c>
      <c r="J137" s="63">
        <v>0</v>
      </c>
    </row>
    <row r="138" spans="1:12" x14ac:dyDescent="0.25">
      <c r="A138" s="534"/>
      <c r="B138" s="535"/>
      <c r="C138" s="535"/>
      <c r="D138" s="10" t="s">
        <v>12</v>
      </c>
      <c r="E138" s="14">
        <f t="shared" si="30"/>
        <v>0</v>
      </c>
      <c r="F138" s="61">
        <v>0</v>
      </c>
      <c r="G138" s="62">
        <v>0</v>
      </c>
      <c r="H138" s="153">
        <v>0</v>
      </c>
      <c r="I138" s="153">
        <v>0</v>
      </c>
      <c r="J138" s="63">
        <v>0</v>
      </c>
      <c r="L138" s="387"/>
    </row>
    <row r="139" spans="1:12" ht="15.75" thickBot="1" x14ac:dyDescent="0.3">
      <c r="A139" s="534"/>
      <c r="B139" s="535"/>
      <c r="C139" s="535"/>
      <c r="D139" s="11" t="s">
        <v>13</v>
      </c>
      <c r="E139" s="15">
        <f t="shared" si="30"/>
        <v>0</v>
      </c>
      <c r="F139" s="64">
        <v>0</v>
      </c>
      <c r="G139" s="65">
        <v>0</v>
      </c>
      <c r="H139" s="154">
        <v>0</v>
      </c>
      <c r="I139" s="154">
        <v>0</v>
      </c>
      <c r="J139" s="66">
        <v>0</v>
      </c>
      <c r="L139" s="387"/>
    </row>
    <row r="140" spans="1:12" x14ac:dyDescent="0.25">
      <c r="A140" s="534" t="s">
        <v>112</v>
      </c>
      <c r="B140" s="535"/>
      <c r="C140" s="535" t="s">
        <v>188</v>
      </c>
      <c r="D140" s="9" t="s">
        <v>4</v>
      </c>
      <c r="E140" s="14">
        <f t="shared" si="30"/>
        <v>2443.1999999999998</v>
      </c>
      <c r="F140" s="58">
        <v>0</v>
      </c>
      <c r="G140" s="59">
        <v>0</v>
      </c>
      <c r="H140" s="152">
        <v>0</v>
      </c>
      <c r="I140" s="152">
        <v>0</v>
      </c>
      <c r="J140" s="60">
        <f>'Nepriame výdavky'!G15</f>
        <v>2443.1999999999998</v>
      </c>
      <c r="L140" s="388"/>
    </row>
    <row r="141" spans="1:12" x14ac:dyDescent="0.25">
      <c r="A141" s="534"/>
      <c r="B141" s="535"/>
      <c r="C141" s="535"/>
      <c r="D141" s="10" t="s">
        <v>5</v>
      </c>
      <c r="E141" s="14">
        <f t="shared" si="30"/>
        <v>0</v>
      </c>
      <c r="F141" s="61">
        <v>0</v>
      </c>
      <c r="G141" s="62">
        <v>0</v>
      </c>
      <c r="H141" s="153">
        <v>0</v>
      </c>
      <c r="I141" s="153">
        <v>0</v>
      </c>
      <c r="J141" s="63">
        <v>0</v>
      </c>
      <c r="L141" s="388"/>
    </row>
    <row r="142" spans="1:12" x14ac:dyDescent="0.25">
      <c r="A142" s="534"/>
      <c r="B142" s="535"/>
      <c r="C142" s="535"/>
      <c r="D142" s="10" t="s">
        <v>6</v>
      </c>
      <c r="E142" s="14">
        <f t="shared" si="30"/>
        <v>0</v>
      </c>
      <c r="F142" s="61">
        <v>0</v>
      </c>
      <c r="G142" s="62">
        <v>0</v>
      </c>
      <c r="H142" s="153">
        <v>0</v>
      </c>
      <c r="I142" s="153">
        <v>0</v>
      </c>
      <c r="J142" s="63">
        <v>0</v>
      </c>
      <c r="L142" s="387"/>
    </row>
    <row r="143" spans="1:12" x14ac:dyDescent="0.25">
      <c r="A143" s="534"/>
      <c r="B143" s="535"/>
      <c r="C143" s="535"/>
      <c r="D143" s="10" t="s">
        <v>7</v>
      </c>
      <c r="E143" s="14">
        <f t="shared" si="30"/>
        <v>0</v>
      </c>
      <c r="F143" s="61">
        <v>0</v>
      </c>
      <c r="G143" s="62">
        <v>0</v>
      </c>
      <c r="H143" s="153">
        <v>0</v>
      </c>
      <c r="I143" s="153">
        <v>0</v>
      </c>
      <c r="J143" s="63">
        <v>0</v>
      </c>
    </row>
    <row r="144" spans="1:12" x14ac:dyDescent="0.25">
      <c r="A144" s="534"/>
      <c r="B144" s="535"/>
      <c r="C144" s="535"/>
      <c r="D144" s="10" t="s">
        <v>8</v>
      </c>
      <c r="E144" s="14">
        <f t="shared" si="30"/>
        <v>0</v>
      </c>
      <c r="F144" s="61">
        <v>0</v>
      </c>
      <c r="G144" s="62">
        <v>0</v>
      </c>
      <c r="H144" s="153">
        <v>0</v>
      </c>
      <c r="I144" s="153">
        <v>0</v>
      </c>
      <c r="J144" s="63">
        <v>0</v>
      </c>
    </row>
    <row r="145" spans="1:10" x14ac:dyDescent="0.25">
      <c r="A145" s="534"/>
      <c r="B145" s="535"/>
      <c r="C145" s="535"/>
      <c r="D145" s="10" t="s">
        <v>9</v>
      </c>
      <c r="E145" s="14">
        <f t="shared" si="30"/>
        <v>0</v>
      </c>
      <c r="F145" s="61">
        <v>0</v>
      </c>
      <c r="G145" s="62">
        <v>0</v>
      </c>
      <c r="H145" s="153">
        <v>0</v>
      </c>
      <c r="I145" s="153">
        <v>0</v>
      </c>
      <c r="J145" s="63">
        <v>0</v>
      </c>
    </row>
    <row r="146" spans="1:10" x14ac:dyDescent="0.25">
      <c r="A146" s="534"/>
      <c r="B146" s="535"/>
      <c r="C146" s="535"/>
      <c r="D146" s="10" t="s">
        <v>10</v>
      </c>
      <c r="E146" s="14">
        <f t="shared" si="30"/>
        <v>0</v>
      </c>
      <c r="F146" s="61">
        <v>0</v>
      </c>
      <c r="G146" s="62">
        <v>0</v>
      </c>
      <c r="H146" s="153">
        <v>0</v>
      </c>
      <c r="I146" s="153">
        <v>0</v>
      </c>
      <c r="J146" s="63">
        <v>0</v>
      </c>
    </row>
    <row r="147" spans="1:10" x14ac:dyDescent="0.25">
      <c r="A147" s="534"/>
      <c r="B147" s="535"/>
      <c r="C147" s="535"/>
      <c r="D147" s="10" t="s">
        <v>11</v>
      </c>
      <c r="E147" s="14">
        <f t="shared" si="30"/>
        <v>0</v>
      </c>
      <c r="F147" s="61">
        <v>0</v>
      </c>
      <c r="G147" s="62">
        <v>0</v>
      </c>
      <c r="H147" s="153">
        <v>0</v>
      </c>
      <c r="I147" s="153">
        <v>0</v>
      </c>
      <c r="J147" s="63">
        <v>0</v>
      </c>
    </row>
    <row r="148" spans="1:10" x14ac:dyDescent="0.25">
      <c r="A148" s="534"/>
      <c r="B148" s="535"/>
      <c r="C148" s="535"/>
      <c r="D148" s="10" t="s">
        <v>12</v>
      </c>
      <c r="E148" s="14">
        <f t="shared" si="30"/>
        <v>0</v>
      </c>
      <c r="F148" s="61">
        <v>0</v>
      </c>
      <c r="G148" s="62">
        <v>0</v>
      </c>
      <c r="H148" s="153">
        <v>0</v>
      </c>
      <c r="I148" s="153">
        <v>0</v>
      </c>
      <c r="J148" s="63">
        <v>0</v>
      </c>
    </row>
    <row r="149" spans="1:10" ht="15.75" thickBot="1" x14ac:dyDescent="0.3">
      <c r="A149" s="534"/>
      <c r="B149" s="535"/>
      <c r="C149" s="535"/>
      <c r="D149" s="11" t="s">
        <v>13</v>
      </c>
      <c r="E149" s="15">
        <f t="shared" si="30"/>
        <v>0</v>
      </c>
      <c r="F149" s="64">
        <v>0</v>
      </c>
      <c r="G149" s="65">
        <v>0</v>
      </c>
      <c r="H149" s="154">
        <v>0</v>
      </c>
      <c r="I149" s="154">
        <v>0</v>
      </c>
      <c r="J149" s="66">
        <v>0</v>
      </c>
    </row>
    <row r="150" spans="1:10" ht="15.75" thickBot="1" x14ac:dyDescent="0.3">
      <c r="A150" s="538" t="s">
        <v>190</v>
      </c>
      <c r="B150" s="539"/>
      <c r="C150" s="539"/>
      <c r="D150" s="23"/>
      <c r="E150" s="19">
        <f t="shared" ref="E150:I150" si="31">SUM(E151:E170)</f>
        <v>0</v>
      </c>
      <c r="F150" s="20">
        <f t="shared" si="31"/>
        <v>0</v>
      </c>
      <c r="G150" s="20">
        <f t="shared" si="31"/>
        <v>0</v>
      </c>
      <c r="H150" s="147">
        <f t="shared" si="31"/>
        <v>0</v>
      </c>
      <c r="I150" s="147">
        <f t="shared" si="31"/>
        <v>0</v>
      </c>
      <c r="J150" s="21">
        <f t="shared" ref="J150" si="32">SUM(J151:J170)</f>
        <v>0</v>
      </c>
    </row>
    <row r="151" spans="1:10" x14ac:dyDescent="0.25">
      <c r="A151" s="534" t="s">
        <v>192</v>
      </c>
      <c r="B151" s="535" t="s">
        <v>42</v>
      </c>
      <c r="C151" s="535">
        <v>633013</v>
      </c>
      <c r="D151" s="9" t="s">
        <v>4</v>
      </c>
      <c r="E151" s="6">
        <f t="shared" ref="E151:E170" si="33">SUM(F151:J151)</f>
        <v>0</v>
      </c>
      <c r="F151" s="67">
        <v>0</v>
      </c>
      <c r="G151" s="68">
        <v>0</v>
      </c>
      <c r="H151" s="148">
        <v>0</v>
      </c>
      <c r="I151" s="148">
        <v>0</v>
      </c>
      <c r="J151" s="73">
        <v>0</v>
      </c>
    </row>
    <row r="152" spans="1:10" x14ac:dyDescent="0.25">
      <c r="A152" s="534"/>
      <c r="B152" s="535"/>
      <c r="C152" s="535"/>
      <c r="D152" s="10" t="s">
        <v>5</v>
      </c>
      <c r="E152" s="7">
        <f t="shared" si="33"/>
        <v>0</v>
      </c>
      <c r="F152" s="69">
        <v>0</v>
      </c>
      <c r="G152" s="70">
        <v>0</v>
      </c>
      <c r="H152" s="149">
        <v>0</v>
      </c>
      <c r="I152" s="149">
        <v>0</v>
      </c>
      <c r="J152" s="74">
        <v>0</v>
      </c>
    </row>
    <row r="153" spans="1:10" x14ac:dyDescent="0.25">
      <c r="A153" s="534"/>
      <c r="B153" s="535"/>
      <c r="C153" s="535"/>
      <c r="D153" s="10" t="s">
        <v>6</v>
      </c>
      <c r="E153" s="7">
        <f t="shared" si="33"/>
        <v>0</v>
      </c>
      <c r="F153" s="69">
        <v>0</v>
      </c>
      <c r="G153" s="70">
        <v>0</v>
      </c>
      <c r="H153" s="149">
        <v>0</v>
      </c>
      <c r="I153" s="149">
        <v>0</v>
      </c>
      <c r="J153" s="74">
        <v>0</v>
      </c>
    </row>
    <row r="154" spans="1:10" x14ac:dyDescent="0.25">
      <c r="A154" s="534"/>
      <c r="B154" s="535"/>
      <c r="C154" s="535"/>
      <c r="D154" s="10" t="s">
        <v>7</v>
      </c>
      <c r="E154" s="7">
        <f t="shared" si="33"/>
        <v>0</v>
      </c>
      <c r="F154" s="69">
        <v>0</v>
      </c>
      <c r="G154" s="70">
        <v>0</v>
      </c>
      <c r="H154" s="149">
        <v>0</v>
      </c>
      <c r="I154" s="149">
        <v>0</v>
      </c>
      <c r="J154" s="74">
        <v>0</v>
      </c>
    </row>
    <row r="155" spans="1:10" x14ac:dyDescent="0.25">
      <c r="A155" s="534"/>
      <c r="B155" s="535"/>
      <c r="C155" s="535"/>
      <c r="D155" s="10" t="s">
        <v>8</v>
      </c>
      <c r="E155" s="7">
        <f t="shared" si="33"/>
        <v>0</v>
      </c>
      <c r="F155" s="69">
        <v>0</v>
      </c>
      <c r="G155" s="70">
        <v>0</v>
      </c>
      <c r="H155" s="149">
        <v>0</v>
      </c>
      <c r="I155" s="149">
        <v>0</v>
      </c>
      <c r="J155" s="74">
        <v>0</v>
      </c>
    </row>
    <row r="156" spans="1:10" x14ac:dyDescent="0.25">
      <c r="A156" s="534"/>
      <c r="B156" s="535"/>
      <c r="C156" s="535"/>
      <c r="D156" s="10" t="s">
        <v>9</v>
      </c>
      <c r="E156" s="7">
        <f t="shared" si="33"/>
        <v>0</v>
      </c>
      <c r="F156" s="69">
        <v>0</v>
      </c>
      <c r="G156" s="70">
        <v>0</v>
      </c>
      <c r="H156" s="149">
        <v>0</v>
      </c>
      <c r="I156" s="149">
        <v>0</v>
      </c>
      <c r="J156" s="74">
        <v>0</v>
      </c>
    </row>
    <row r="157" spans="1:10" x14ac:dyDescent="0.25">
      <c r="A157" s="534"/>
      <c r="B157" s="535"/>
      <c r="C157" s="535"/>
      <c r="D157" s="10" t="s">
        <v>10</v>
      </c>
      <c r="E157" s="7">
        <f t="shared" si="33"/>
        <v>0</v>
      </c>
      <c r="F157" s="69">
        <v>0</v>
      </c>
      <c r="G157" s="70">
        <v>0</v>
      </c>
      <c r="H157" s="149">
        <v>0</v>
      </c>
      <c r="I157" s="149">
        <v>0</v>
      </c>
      <c r="J157" s="74">
        <v>0</v>
      </c>
    </row>
    <row r="158" spans="1:10" x14ac:dyDescent="0.25">
      <c r="A158" s="534"/>
      <c r="B158" s="535"/>
      <c r="C158" s="535"/>
      <c r="D158" s="10" t="s">
        <v>11</v>
      </c>
      <c r="E158" s="7">
        <f t="shared" si="33"/>
        <v>0</v>
      </c>
      <c r="F158" s="69">
        <v>0</v>
      </c>
      <c r="G158" s="70">
        <v>0</v>
      </c>
      <c r="H158" s="149">
        <v>0</v>
      </c>
      <c r="I158" s="149">
        <v>0</v>
      </c>
      <c r="J158" s="74">
        <v>0</v>
      </c>
    </row>
    <row r="159" spans="1:10" x14ac:dyDescent="0.25">
      <c r="A159" s="534"/>
      <c r="B159" s="535"/>
      <c r="C159" s="535"/>
      <c r="D159" s="10" t="s">
        <v>12</v>
      </c>
      <c r="E159" s="7">
        <f t="shared" si="33"/>
        <v>0</v>
      </c>
      <c r="F159" s="69">
        <v>0</v>
      </c>
      <c r="G159" s="70">
        <v>0</v>
      </c>
      <c r="H159" s="149">
        <v>0</v>
      </c>
      <c r="I159" s="149">
        <v>0</v>
      </c>
      <c r="J159" s="74">
        <v>0</v>
      </c>
    </row>
    <row r="160" spans="1:10" ht="15.75" thickBot="1" x14ac:dyDescent="0.3">
      <c r="A160" s="534"/>
      <c r="B160" s="535"/>
      <c r="C160" s="535"/>
      <c r="D160" s="11" t="s">
        <v>13</v>
      </c>
      <c r="E160" s="8">
        <f t="shared" si="33"/>
        <v>0</v>
      </c>
      <c r="F160" s="71">
        <v>0</v>
      </c>
      <c r="G160" s="72">
        <v>0</v>
      </c>
      <c r="H160" s="150">
        <v>0</v>
      </c>
      <c r="I160" s="150">
        <v>0</v>
      </c>
      <c r="J160" s="75">
        <v>0</v>
      </c>
    </row>
    <row r="161" spans="1:10" x14ac:dyDescent="0.25">
      <c r="A161" s="534" t="s">
        <v>191</v>
      </c>
      <c r="B161" s="535"/>
      <c r="C161" s="535">
        <v>637031</v>
      </c>
      <c r="D161" s="9" t="s">
        <v>4</v>
      </c>
      <c r="E161" s="7">
        <f t="shared" si="33"/>
        <v>0</v>
      </c>
      <c r="F161" s="67">
        <v>0</v>
      </c>
      <c r="G161" s="68">
        <v>0</v>
      </c>
      <c r="H161" s="148">
        <v>0</v>
      </c>
      <c r="I161" s="148">
        <v>0</v>
      </c>
      <c r="J161" s="73">
        <v>0</v>
      </c>
    </row>
    <row r="162" spans="1:10" x14ac:dyDescent="0.25">
      <c r="A162" s="534"/>
      <c r="B162" s="535"/>
      <c r="C162" s="535"/>
      <c r="D162" s="10" t="s">
        <v>5</v>
      </c>
      <c r="E162" s="7">
        <f t="shared" si="33"/>
        <v>0</v>
      </c>
      <c r="F162" s="69">
        <v>0</v>
      </c>
      <c r="G162" s="70">
        <v>0</v>
      </c>
      <c r="H162" s="149">
        <v>0</v>
      </c>
      <c r="I162" s="149">
        <v>0</v>
      </c>
      <c r="J162" s="74">
        <v>0</v>
      </c>
    </row>
    <row r="163" spans="1:10" x14ac:dyDescent="0.25">
      <c r="A163" s="534"/>
      <c r="B163" s="535"/>
      <c r="C163" s="535"/>
      <c r="D163" s="10" t="s">
        <v>6</v>
      </c>
      <c r="E163" s="7">
        <f t="shared" si="33"/>
        <v>0</v>
      </c>
      <c r="F163" s="69">
        <v>0</v>
      </c>
      <c r="G163" s="70">
        <v>0</v>
      </c>
      <c r="H163" s="149">
        <v>0</v>
      </c>
      <c r="I163" s="149">
        <v>0</v>
      </c>
      <c r="J163" s="74">
        <v>0</v>
      </c>
    </row>
    <row r="164" spans="1:10" x14ac:dyDescent="0.25">
      <c r="A164" s="534"/>
      <c r="B164" s="535"/>
      <c r="C164" s="535"/>
      <c r="D164" s="10" t="s">
        <v>7</v>
      </c>
      <c r="E164" s="7">
        <f t="shared" si="33"/>
        <v>0</v>
      </c>
      <c r="F164" s="69">
        <v>0</v>
      </c>
      <c r="G164" s="70">
        <v>0</v>
      </c>
      <c r="H164" s="149">
        <v>0</v>
      </c>
      <c r="I164" s="149">
        <v>0</v>
      </c>
      <c r="J164" s="74">
        <v>0</v>
      </c>
    </row>
    <row r="165" spans="1:10" x14ac:dyDescent="0.25">
      <c r="A165" s="534"/>
      <c r="B165" s="535"/>
      <c r="C165" s="535"/>
      <c r="D165" s="10" t="s">
        <v>8</v>
      </c>
      <c r="E165" s="7">
        <f t="shared" si="33"/>
        <v>0</v>
      </c>
      <c r="F165" s="69">
        <v>0</v>
      </c>
      <c r="G165" s="70">
        <v>0</v>
      </c>
      <c r="H165" s="149">
        <v>0</v>
      </c>
      <c r="I165" s="149">
        <v>0</v>
      </c>
      <c r="J165" s="74">
        <v>0</v>
      </c>
    </row>
    <row r="166" spans="1:10" x14ac:dyDescent="0.25">
      <c r="A166" s="534"/>
      <c r="B166" s="535"/>
      <c r="C166" s="535"/>
      <c r="D166" s="10" t="s">
        <v>9</v>
      </c>
      <c r="E166" s="7">
        <f t="shared" si="33"/>
        <v>0</v>
      </c>
      <c r="F166" s="69">
        <v>0</v>
      </c>
      <c r="G166" s="70">
        <v>0</v>
      </c>
      <c r="H166" s="149">
        <v>0</v>
      </c>
      <c r="I166" s="149">
        <v>0</v>
      </c>
      <c r="J166" s="74">
        <v>0</v>
      </c>
    </row>
    <row r="167" spans="1:10" x14ac:dyDescent="0.25">
      <c r="A167" s="534"/>
      <c r="B167" s="535"/>
      <c r="C167" s="535"/>
      <c r="D167" s="10" t="s">
        <v>10</v>
      </c>
      <c r="E167" s="7">
        <f t="shared" si="33"/>
        <v>0</v>
      </c>
      <c r="F167" s="69">
        <v>0</v>
      </c>
      <c r="G167" s="70">
        <v>0</v>
      </c>
      <c r="H167" s="149">
        <v>0</v>
      </c>
      <c r="I167" s="149">
        <v>0</v>
      </c>
      <c r="J167" s="74">
        <v>0</v>
      </c>
    </row>
    <row r="168" spans="1:10" x14ac:dyDescent="0.25">
      <c r="A168" s="534"/>
      <c r="B168" s="535"/>
      <c r="C168" s="535"/>
      <c r="D168" s="10" t="s">
        <v>11</v>
      </c>
      <c r="E168" s="7">
        <f t="shared" si="33"/>
        <v>0</v>
      </c>
      <c r="F168" s="69">
        <v>0</v>
      </c>
      <c r="G168" s="70">
        <v>0</v>
      </c>
      <c r="H168" s="149">
        <v>0</v>
      </c>
      <c r="I168" s="149">
        <v>0</v>
      </c>
      <c r="J168" s="74">
        <v>0</v>
      </c>
    </row>
    <row r="169" spans="1:10" x14ac:dyDescent="0.25">
      <c r="A169" s="534"/>
      <c r="B169" s="535"/>
      <c r="C169" s="535"/>
      <c r="D169" s="10" t="s">
        <v>12</v>
      </c>
      <c r="E169" s="7">
        <f t="shared" si="33"/>
        <v>0</v>
      </c>
      <c r="F169" s="69">
        <v>0</v>
      </c>
      <c r="G169" s="70">
        <v>0</v>
      </c>
      <c r="H169" s="149">
        <v>0</v>
      </c>
      <c r="I169" s="149">
        <v>0</v>
      </c>
      <c r="J169" s="74">
        <v>0</v>
      </c>
    </row>
    <row r="170" spans="1:10" ht="15.75" thickBot="1" x14ac:dyDescent="0.3">
      <c r="A170" s="534"/>
      <c r="B170" s="535"/>
      <c r="C170" s="535"/>
      <c r="D170" s="11" t="s">
        <v>13</v>
      </c>
      <c r="E170" s="8">
        <f t="shared" si="33"/>
        <v>0</v>
      </c>
      <c r="F170" s="71">
        <v>0</v>
      </c>
      <c r="G170" s="72">
        <v>0</v>
      </c>
      <c r="H170" s="150">
        <v>0</v>
      </c>
      <c r="I170" s="150">
        <v>0</v>
      </c>
      <c r="J170" s="75">
        <v>0</v>
      </c>
    </row>
  </sheetData>
  <mergeCells count="52">
    <mergeCell ref="A150:C150"/>
    <mergeCell ref="A151:A160"/>
    <mergeCell ref="B151:B160"/>
    <mergeCell ref="C151:C160"/>
    <mergeCell ref="A161:A170"/>
    <mergeCell ref="B161:B170"/>
    <mergeCell ref="C161:C170"/>
    <mergeCell ref="A36:A45"/>
    <mergeCell ref="B36:B45"/>
    <mergeCell ref="C36:C45"/>
    <mergeCell ref="A3:C3"/>
    <mergeCell ref="A46:A55"/>
    <mergeCell ref="B46:B55"/>
    <mergeCell ref="C46:C55"/>
    <mergeCell ref="A15:A24"/>
    <mergeCell ref="B15:B24"/>
    <mergeCell ref="C15:C24"/>
    <mergeCell ref="A26:A35"/>
    <mergeCell ref="B26:B35"/>
    <mergeCell ref="C26:C35"/>
    <mergeCell ref="C5:C14"/>
    <mergeCell ref="A5:A14"/>
    <mergeCell ref="B5:B14"/>
    <mergeCell ref="A56:C56"/>
    <mergeCell ref="A58:A67"/>
    <mergeCell ref="B58:B67"/>
    <mergeCell ref="C58:C67"/>
    <mergeCell ref="A68:A77"/>
    <mergeCell ref="B68:B77"/>
    <mergeCell ref="C68:C77"/>
    <mergeCell ref="A119:A128"/>
    <mergeCell ref="B119:B128"/>
    <mergeCell ref="C119:C128"/>
    <mergeCell ref="A1:D1"/>
    <mergeCell ref="A99:A108"/>
    <mergeCell ref="B99:B108"/>
    <mergeCell ref="C99:C108"/>
    <mergeCell ref="A109:A118"/>
    <mergeCell ref="B109:B118"/>
    <mergeCell ref="C109:C118"/>
    <mergeCell ref="A79:A88"/>
    <mergeCell ref="B79:B88"/>
    <mergeCell ref="C79:C88"/>
    <mergeCell ref="A89:A98"/>
    <mergeCell ref="B89:B98"/>
    <mergeCell ref="C89:C98"/>
    <mergeCell ref="A130:A139"/>
    <mergeCell ref="B130:B139"/>
    <mergeCell ref="C130:C139"/>
    <mergeCell ref="A140:A149"/>
    <mergeCell ref="B140:B149"/>
    <mergeCell ref="C140:C149"/>
  </mergeCells>
  <phoneticPr fontId="48" type="noConversion"/>
  <pageMargins left="0.7" right="0.7" top="0.75" bottom="0.75" header="0.3" footer="0.3"/>
  <pageSetup paperSize="9" scale="29" orientation="portrait" r:id="rId1"/>
  <ignoredErrors>
    <ignoredError sqref="E25 E7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CC"/>
    <outlinePr summaryBelow="0" summaryRight="0"/>
  </sheetPr>
  <dimension ref="A1:N84"/>
  <sheetViews>
    <sheetView view="pageBreakPreview" zoomScale="85" zoomScaleNormal="85" zoomScaleSheetLayoutView="85" workbookViewId="0">
      <selection activeCell="G40" sqref="G40"/>
    </sheetView>
  </sheetViews>
  <sheetFormatPr defaultColWidth="8.85546875" defaultRowHeight="15" outlineLevelRow="1" outlineLevelCol="1" x14ac:dyDescent="0.25"/>
  <cols>
    <col min="1" max="1" width="22.42578125" customWidth="1"/>
    <col min="2" max="2" width="23.28515625" customWidth="1"/>
    <col min="3" max="3" width="22.42578125" customWidth="1"/>
    <col min="5" max="5" width="17.85546875" customWidth="1"/>
    <col min="6" max="10" width="21" customWidth="1" outlineLevel="1"/>
    <col min="11" max="11" width="21" customWidth="1"/>
    <col min="12" max="12" width="16.28515625" customWidth="1"/>
    <col min="13" max="13" width="16.42578125" customWidth="1"/>
    <col min="14" max="14" width="17.7109375" customWidth="1"/>
  </cols>
  <sheetData>
    <row r="1" spans="1:12" ht="36" customHeight="1" thickBot="1" x14ac:dyDescent="0.4">
      <c r="A1" s="536" t="s">
        <v>62</v>
      </c>
      <c r="B1" s="536"/>
      <c r="C1" s="536"/>
      <c r="D1" s="537"/>
      <c r="E1" s="12" t="s">
        <v>14</v>
      </c>
      <c r="F1" s="158" t="s">
        <v>386</v>
      </c>
      <c r="G1" s="257" t="s">
        <v>240</v>
      </c>
      <c r="H1" s="257" t="s">
        <v>239</v>
      </c>
      <c r="I1" s="257" t="s">
        <v>241</v>
      </c>
      <c r="J1" s="257" t="s">
        <v>384</v>
      </c>
      <c r="K1" s="257" t="s">
        <v>385</v>
      </c>
    </row>
    <row r="2" spans="1:12" ht="15.75" thickBot="1" x14ac:dyDescent="0.3">
      <c r="A2" s="5" t="s">
        <v>0</v>
      </c>
      <c r="B2" s="17" t="s">
        <v>39</v>
      </c>
      <c r="C2" s="17" t="s">
        <v>38</v>
      </c>
      <c r="D2" s="17" t="s">
        <v>3</v>
      </c>
      <c r="E2" s="1"/>
      <c r="F2" s="1"/>
      <c r="G2" s="1"/>
      <c r="H2" s="263"/>
      <c r="I2" s="263"/>
      <c r="J2" s="263"/>
      <c r="K2" s="263"/>
    </row>
    <row r="3" spans="1:12" ht="15.75" thickBot="1" x14ac:dyDescent="0.3">
      <c r="A3" s="545" t="s">
        <v>52</v>
      </c>
      <c r="B3" s="545"/>
      <c r="C3" s="545"/>
      <c r="D3" s="16"/>
      <c r="E3" s="19">
        <f t="shared" ref="E3:K3" si="0">SUM(E4:E33)</f>
        <v>4730.6556</v>
      </c>
      <c r="F3" s="20">
        <f t="shared" si="0"/>
        <v>4730.6556</v>
      </c>
      <c r="G3" s="20">
        <f>SUM(G4:G33)</f>
        <v>0</v>
      </c>
      <c r="H3" s="147">
        <f t="shared" si="0"/>
        <v>0</v>
      </c>
      <c r="I3" s="147">
        <f t="shared" si="0"/>
        <v>0</v>
      </c>
      <c r="J3" s="147">
        <f>SUM(J4:J33)</f>
        <v>0</v>
      </c>
      <c r="K3" s="21">
        <f t="shared" si="0"/>
        <v>0</v>
      </c>
      <c r="L3" s="378" t="s">
        <v>442</v>
      </c>
    </row>
    <row r="4" spans="1:12" outlineLevel="1" x14ac:dyDescent="0.25">
      <c r="A4" s="534" t="s">
        <v>54</v>
      </c>
      <c r="B4" s="534" t="s">
        <v>57</v>
      </c>
      <c r="C4" s="535">
        <v>713002</v>
      </c>
      <c r="D4" s="9" t="s">
        <v>4</v>
      </c>
      <c r="E4" s="13">
        <f t="shared" ref="E4:E33" si="1">SUM(F4:K4)</f>
        <v>0</v>
      </c>
      <c r="F4" s="58">
        <v>0</v>
      </c>
      <c r="G4" s="59">
        <v>0</v>
      </c>
      <c r="H4" s="152">
        <v>0</v>
      </c>
      <c r="I4" s="152">
        <v>0</v>
      </c>
      <c r="J4" s="152">
        <v>0</v>
      </c>
      <c r="K4" s="60">
        <v>0</v>
      </c>
      <c r="L4" s="378" t="s">
        <v>444</v>
      </c>
    </row>
    <row r="5" spans="1:12" outlineLevel="1" x14ac:dyDescent="0.25">
      <c r="A5" s="534"/>
      <c r="B5" s="535"/>
      <c r="C5" s="535"/>
      <c r="D5" s="10" t="s">
        <v>5</v>
      </c>
      <c r="E5" s="14">
        <f t="shared" si="1"/>
        <v>0</v>
      </c>
      <c r="F5" s="61">
        <v>0</v>
      </c>
      <c r="G5" s="62">
        <v>0</v>
      </c>
      <c r="H5" s="153">
        <v>0</v>
      </c>
      <c r="I5" s="153">
        <v>0</v>
      </c>
      <c r="J5" s="153">
        <v>0</v>
      </c>
      <c r="K5" s="63">
        <v>0</v>
      </c>
    </row>
    <row r="6" spans="1:12" outlineLevel="1" x14ac:dyDescent="0.25">
      <c r="A6" s="534"/>
      <c r="B6" s="535"/>
      <c r="C6" s="535"/>
      <c r="D6" s="10" t="s">
        <v>6</v>
      </c>
      <c r="E6" s="14">
        <f t="shared" si="1"/>
        <v>0</v>
      </c>
      <c r="F6" s="61">
        <v>0</v>
      </c>
      <c r="G6" s="62">
        <v>0</v>
      </c>
      <c r="H6" s="153">
        <v>0</v>
      </c>
      <c r="I6" s="153">
        <v>0</v>
      </c>
      <c r="J6" s="153">
        <v>0</v>
      </c>
      <c r="K6" s="63">
        <v>0</v>
      </c>
    </row>
    <row r="7" spans="1:12" outlineLevel="1" x14ac:dyDescent="0.25">
      <c r="A7" s="534"/>
      <c r="B7" s="535"/>
      <c r="C7" s="535"/>
      <c r="D7" s="10" t="s">
        <v>7</v>
      </c>
      <c r="E7" s="14">
        <f t="shared" si="1"/>
        <v>0</v>
      </c>
      <c r="F7" s="61">
        <v>0</v>
      </c>
      <c r="G7" s="62">
        <v>0</v>
      </c>
      <c r="H7" s="153">
        <v>0</v>
      </c>
      <c r="I7" s="153">
        <v>0</v>
      </c>
      <c r="J7" s="153">
        <v>0</v>
      </c>
      <c r="K7" s="63">
        <v>0</v>
      </c>
    </row>
    <row r="8" spans="1:12" outlineLevel="1" x14ac:dyDescent="0.25">
      <c r="A8" s="534"/>
      <c r="B8" s="535"/>
      <c r="C8" s="535"/>
      <c r="D8" s="10" t="s">
        <v>8</v>
      </c>
      <c r="E8" s="14">
        <f t="shared" si="1"/>
        <v>0</v>
      </c>
      <c r="F8" s="61">
        <v>0</v>
      </c>
      <c r="G8" s="62">
        <v>0</v>
      </c>
      <c r="H8" s="153">
        <v>0</v>
      </c>
      <c r="I8" s="153">
        <v>0</v>
      </c>
      <c r="J8" s="153">
        <v>0</v>
      </c>
      <c r="K8" s="63">
        <v>0</v>
      </c>
    </row>
    <row r="9" spans="1:12" outlineLevel="1" x14ac:dyDescent="0.25">
      <c r="A9" s="534"/>
      <c r="B9" s="535"/>
      <c r="C9" s="535"/>
      <c r="D9" s="10" t="s">
        <v>9</v>
      </c>
      <c r="E9" s="14">
        <f t="shared" si="1"/>
        <v>0</v>
      </c>
      <c r="F9" s="61">
        <v>0</v>
      </c>
      <c r="G9" s="62">
        <v>0</v>
      </c>
      <c r="H9" s="153">
        <v>0</v>
      </c>
      <c r="I9" s="153">
        <v>0</v>
      </c>
      <c r="J9" s="153">
        <v>0</v>
      </c>
      <c r="K9" s="63">
        <v>0</v>
      </c>
    </row>
    <row r="10" spans="1:12" outlineLevel="1" x14ac:dyDescent="0.25">
      <c r="A10" s="534"/>
      <c r="B10" s="535"/>
      <c r="C10" s="535"/>
      <c r="D10" s="10" t="s">
        <v>10</v>
      </c>
      <c r="E10" s="14">
        <f t="shared" si="1"/>
        <v>0</v>
      </c>
      <c r="F10" s="61">
        <v>0</v>
      </c>
      <c r="G10" s="62">
        <v>0</v>
      </c>
      <c r="H10" s="153">
        <v>0</v>
      </c>
      <c r="I10" s="153">
        <v>0</v>
      </c>
      <c r="J10" s="153">
        <v>0</v>
      </c>
      <c r="K10" s="63">
        <v>0</v>
      </c>
    </row>
    <row r="11" spans="1:12" outlineLevel="1" x14ac:dyDescent="0.25">
      <c r="A11" s="534"/>
      <c r="B11" s="535"/>
      <c r="C11" s="535"/>
      <c r="D11" s="10" t="s">
        <v>11</v>
      </c>
      <c r="E11" s="14">
        <f t="shared" si="1"/>
        <v>0</v>
      </c>
      <c r="F11" s="61">
        <v>0</v>
      </c>
      <c r="G11" s="62">
        <v>0</v>
      </c>
      <c r="H11" s="153">
        <v>0</v>
      </c>
      <c r="I11" s="153">
        <v>0</v>
      </c>
      <c r="J11" s="153">
        <v>0</v>
      </c>
      <c r="K11" s="63">
        <v>0</v>
      </c>
    </row>
    <row r="12" spans="1:12" outlineLevel="1" x14ac:dyDescent="0.25">
      <c r="A12" s="534"/>
      <c r="B12" s="535"/>
      <c r="C12" s="535"/>
      <c r="D12" s="10" t="s">
        <v>12</v>
      </c>
      <c r="E12" s="14">
        <f t="shared" si="1"/>
        <v>0</v>
      </c>
      <c r="F12" s="61">
        <v>0</v>
      </c>
      <c r="G12" s="62">
        <v>0</v>
      </c>
      <c r="H12" s="153">
        <v>0</v>
      </c>
      <c r="I12" s="153">
        <v>0</v>
      </c>
      <c r="J12" s="153">
        <v>0</v>
      </c>
      <c r="K12" s="63">
        <v>0</v>
      </c>
    </row>
    <row r="13" spans="1:12" ht="15.75" outlineLevel="1" thickBot="1" x14ac:dyDescent="0.3">
      <c r="A13" s="534"/>
      <c r="B13" s="535"/>
      <c r="C13" s="535"/>
      <c r="D13" s="11" t="s">
        <v>13</v>
      </c>
      <c r="E13" s="15">
        <f t="shared" si="1"/>
        <v>0</v>
      </c>
      <c r="F13" s="64">
        <v>0</v>
      </c>
      <c r="G13" s="65">
        <v>0</v>
      </c>
      <c r="H13" s="154">
        <v>0</v>
      </c>
      <c r="I13" s="154">
        <v>0</v>
      </c>
      <c r="J13" s="154">
        <v>0</v>
      </c>
      <c r="K13" s="66">
        <v>0</v>
      </c>
    </row>
    <row r="14" spans="1:12" ht="15" customHeight="1" outlineLevel="1" x14ac:dyDescent="0.25">
      <c r="A14" s="534" t="s">
        <v>55</v>
      </c>
      <c r="B14" s="534" t="s">
        <v>78</v>
      </c>
      <c r="C14" s="535">
        <v>633002</v>
      </c>
      <c r="D14" s="9" t="s">
        <v>4</v>
      </c>
      <c r="E14" s="14">
        <f t="shared" si="1"/>
        <v>0</v>
      </c>
      <c r="F14" s="61">
        <v>0</v>
      </c>
      <c r="G14" s="59">
        <v>0</v>
      </c>
      <c r="H14" s="152">
        <v>0</v>
      </c>
      <c r="I14" s="152">
        <v>0</v>
      </c>
      <c r="J14" s="152">
        <v>0</v>
      </c>
      <c r="K14" s="60">
        <v>0</v>
      </c>
    </row>
    <row r="15" spans="1:12" outlineLevel="1" x14ac:dyDescent="0.25">
      <c r="A15" s="534"/>
      <c r="B15" s="535"/>
      <c r="C15" s="535"/>
      <c r="D15" s="10" t="s">
        <v>5</v>
      </c>
      <c r="E15" s="14">
        <f t="shared" si="1"/>
        <v>0</v>
      </c>
      <c r="F15" s="61">
        <v>0</v>
      </c>
      <c r="G15" s="62">
        <v>0</v>
      </c>
      <c r="H15" s="153">
        <v>0</v>
      </c>
      <c r="I15" s="153">
        <v>0</v>
      </c>
      <c r="J15" s="153">
        <v>0</v>
      </c>
      <c r="K15" s="63">
        <v>0</v>
      </c>
    </row>
    <row r="16" spans="1:12" outlineLevel="1" x14ac:dyDescent="0.25">
      <c r="A16" s="534"/>
      <c r="B16" s="535"/>
      <c r="C16" s="535"/>
      <c r="D16" s="10" t="s">
        <v>6</v>
      </c>
      <c r="E16" s="14">
        <f t="shared" si="1"/>
        <v>0</v>
      </c>
      <c r="F16" s="61">
        <v>0</v>
      </c>
      <c r="G16" s="62">
        <v>0</v>
      </c>
      <c r="H16" s="153">
        <v>0</v>
      </c>
      <c r="I16" s="153">
        <v>0</v>
      </c>
      <c r="J16" s="153">
        <v>0</v>
      </c>
      <c r="K16" s="63">
        <v>0</v>
      </c>
    </row>
    <row r="17" spans="1:14" outlineLevel="1" x14ac:dyDescent="0.25">
      <c r="A17" s="534"/>
      <c r="B17" s="535"/>
      <c r="C17" s="535"/>
      <c r="D17" s="10" t="s">
        <v>7</v>
      </c>
      <c r="E17" s="14">
        <f t="shared" si="1"/>
        <v>0</v>
      </c>
      <c r="F17" s="61">
        <v>0</v>
      </c>
      <c r="G17" s="62">
        <v>0</v>
      </c>
      <c r="H17" s="153">
        <v>0</v>
      </c>
      <c r="I17" s="153">
        <v>0</v>
      </c>
      <c r="J17" s="153">
        <v>0</v>
      </c>
      <c r="K17" s="63">
        <v>0</v>
      </c>
    </row>
    <row r="18" spans="1:14" outlineLevel="1" x14ac:dyDescent="0.25">
      <c r="A18" s="534"/>
      <c r="B18" s="535"/>
      <c r="C18" s="535"/>
      <c r="D18" s="10" t="s">
        <v>8</v>
      </c>
      <c r="E18" s="14">
        <f t="shared" si="1"/>
        <v>0</v>
      </c>
      <c r="F18" s="61">
        <v>0</v>
      </c>
      <c r="G18" s="62">
        <v>0</v>
      </c>
      <c r="H18" s="153">
        <v>0</v>
      </c>
      <c r="I18" s="153">
        <v>0</v>
      </c>
      <c r="J18" s="153">
        <v>0</v>
      </c>
      <c r="K18" s="63">
        <v>0</v>
      </c>
    </row>
    <row r="19" spans="1:14" outlineLevel="1" x14ac:dyDescent="0.25">
      <c r="A19" s="534"/>
      <c r="B19" s="535"/>
      <c r="C19" s="535"/>
      <c r="D19" s="10" t="s">
        <v>9</v>
      </c>
      <c r="E19" s="14">
        <f t="shared" si="1"/>
        <v>0</v>
      </c>
      <c r="F19" s="61">
        <v>0</v>
      </c>
      <c r="G19" s="62">
        <v>0</v>
      </c>
      <c r="H19" s="153">
        <v>0</v>
      </c>
      <c r="I19" s="153">
        <v>0</v>
      </c>
      <c r="J19" s="153">
        <v>0</v>
      </c>
      <c r="K19" s="63">
        <v>0</v>
      </c>
    </row>
    <row r="20" spans="1:14" outlineLevel="1" x14ac:dyDescent="0.25">
      <c r="A20" s="534"/>
      <c r="B20" s="535"/>
      <c r="C20" s="535"/>
      <c r="D20" s="10" t="s">
        <v>10</v>
      </c>
      <c r="E20" s="14">
        <f t="shared" si="1"/>
        <v>0</v>
      </c>
      <c r="F20" s="61">
        <v>0</v>
      </c>
      <c r="G20" s="62">
        <v>0</v>
      </c>
      <c r="H20" s="153">
        <v>0</v>
      </c>
      <c r="I20" s="153">
        <v>0</v>
      </c>
      <c r="J20" s="153">
        <v>0</v>
      </c>
      <c r="K20" s="63">
        <v>0</v>
      </c>
    </row>
    <row r="21" spans="1:14" outlineLevel="1" x14ac:dyDescent="0.25">
      <c r="A21" s="534"/>
      <c r="B21" s="535"/>
      <c r="C21" s="535"/>
      <c r="D21" s="10" t="s">
        <v>11</v>
      </c>
      <c r="E21" s="14">
        <f t="shared" si="1"/>
        <v>0</v>
      </c>
      <c r="F21" s="61">
        <v>0</v>
      </c>
      <c r="G21" s="62">
        <v>0</v>
      </c>
      <c r="H21" s="153">
        <v>0</v>
      </c>
      <c r="I21" s="153">
        <v>0</v>
      </c>
      <c r="J21" s="153">
        <v>0</v>
      </c>
      <c r="K21" s="63">
        <v>0</v>
      </c>
    </row>
    <row r="22" spans="1:14" outlineLevel="1" x14ac:dyDescent="0.25">
      <c r="A22" s="534"/>
      <c r="B22" s="535"/>
      <c r="C22" s="535"/>
      <c r="D22" s="10" t="s">
        <v>12</v>
      </c>
      <c r="E22" s="14">
        <f t="shared" si="1"/>
        <v>0</v>
      </c>
      <c r="F22" s="61">
        <v>0</v>
      </c>
      <c r="G22" s="62">
        <v>0</v>
      </c>
      <c r="H22" s="153">
        <v>0</v>
      </c>
      <c r="I22" s="153">
        <v>0</v>
      </c>
      <c r="J22" s="153">
        <v>0</v>
      </c>
      <c r="K22" s="63">
        <v>0</v>
      </c>
      <c r="M22" s="544" t="s">
        <v>435</v>
      </c>
      <c r="N22" s="544"/>
    </row>
    <row r="23" spans="1:14" ht="15.75" outlineLevel="1" thickBot="1" x14ac:dyDescent="0.3">
      <c r="A23" s="534"/>
      <c r="B23" s="535"/>
      <c r="C23" s="535"/>
      <c r="D23" s="11" t="s">
        <v>13</v>
      </c>
      <c r="E23" s="15">
        <f t="shared" si="1"/>
        <v>0</v>
      </c>
      <c r="F23" s="64">
        <v>0</v>
      </c>
      <c r="G23" s="65">
        <v>0</v>
      </c>
      <c r="H23" s="154">
        <v>0</v>
      </c>
      <c r="I23" s="154">
        <v>0</v>
      </c>
      <c r="J23" s="154">
        <v>0</v>
      </c>
      <c r="K23" s="66">
        <v>0</v>
      </c>
      <c r="M23" s="465" t="s">
        <v>437</v>
      </c>
      <c r="N23" s="465" t="s">
        <v>438</v>
      </c>
    </row>
    <row r="24" spans="1:14" outlineLevel="1" x14ac:dyDescent="0.25">
      <c r="A24" s="534" t="s">
        <v>213</v>
      </c>
      <c r="B24" s="535" t="s">
        <v>42</v>
      </c>
      <c r="C24" s="535">
        <v>636006</v>
      </c>
      <c r="D24" s="9" t="s">
        <v>4</v>
      </c>
      <c r="E24" s="14">
        <f t="shared" si="1"/>
        <v>2365.3278</v>
      </c>
      <c r="F24" s="58">
        <f>M24*N24*'Rozpočet - HW a licencie'!$F$18</f>
        <v>2365.3278</v>
      </c>
      <c r="G24" s="59">
        <v>0</v>
      </c>
      <c r="H24" s="152">
        <v>0</v>
      </c>
      <c r="I24" s="152">
        <v>0</v>
      </c>
      <c r="J24" s="152">
        <v>0</v>
      </c>
      <c r="K24" s="152">
        <v>0</v>
      </c>
      <c r="L24" s="465" t="s">
        <v>436</v>
      </c>
      <c r="M24" s="462">
        <v>0.5</v>
      </c>
      <c r="N24" s="463">
        <v>1</v>
      </c>
    </row>
    <row r="25" spans="1:14" outlineLevel="1" x14ac:dyDescent="0.25">
      <c r="A25" s="534"/>
      <c r="B25" s="535"/>
      <c r="C25" s="535"/>
      <c r="D25" s="10" t="s">
        <v>5</v>
      </c>
      <c r="E25" s="14">
        <f t="shared" si="1"/>
        <v>2365.3278</v>
      </c>
      <c r="F25" s="61">
        <f>M25*N25*'Rozpočet - HW a licencie'!$F$18/2</f>
        <v>2365.3278</v>
      </c>
      <c r="G25" s="62">
        <v>0</v>
      </c>
      <c r="H25" s="153">
        <v>0</v>
      </c>
      <c r="I25" s="153">
        <v>0</v>
      </c>
      <c r="J25" s="153">
        <v>0</v>
      </c>
      <c r="K25" s="63">
        <v>0</v>
      </c>
      <c r="M25" s="464">
        <v>1</v>
      </c>
      <c r="N25" s="463">
        <v>1</v>
      </c>
    </row>
    <row r="26" spans="1:14" outlineLevel="1" x14ac:dyDescent="0.25">
      <c r="A26" s="534"/>
      <c r="B26" s="535"/>
      <c r="C26" s="535"/>
      <c r="D26" s="10" t="s">
        <v>6</v>
      </c>
      <c r="E26" s="14">
        <f t="shared" si="1"/>
        <v>0</v>
      </c>
      <c r="F26" s="61">
        <v>0</v>
      </c>
      <c r="G26" s="62">
        <v>0</v>
      </c>
      <c r="H26" s="153">
        <v>0</v>
      </c>
      <c r="I26" s="153">
        <v>0</v>
      </c>
      <c r="J26" s="153">
        <v>0</v>
      </c>
      <c r="K26" s="63">
        <v>0</v>
      </c>
      <c r="M26" s="464">
        <v>0.98</v>
      </c>
      <c r="N26" s="464">
        <v>1</v>
      </c>
    </row>
    <row r="27" spans="1:14" outlineLevel="1" x14ac:dyDescent="0.25">
      <c r="A27" s="534"/>
      <c r="B27" s="535"/>
      <c r="C27" s="535"/>
      <c r="D27" s="10" t="s">
        <v>7</v>
      </c>
      <c r="E27" s="14">
        <f t="shared" si="1"/>
        <v>0</v>
      </c>
      <c r="F27" s="61">
        <v>0</v>
      </c>
      <c r="G27" s="62">
        <v>0</v>
      </c>
      <c r="H27" s="153">
        <v>0</v>
      </c>
      <c r="I27" s="153">
        <v>0</v>
      </c>
      <c r="J27" s="153">
        <v>0</v>
      </c>
      <c r="K27" s="63">
        <v>0</v>
      </c>
      <c r="M27" s="464">
        <v>0.95</v>
      </c>
      <c r="N27" s="464">
        <v>1.1000000000000001</v>
      </c>
    </row>
    <row r="28" spans="1:14" outlineLevel="1" x14ac:dyDescent="0.25">
      <c r="A28" s="534"/>
      <c r="B28" s="535"/>
      <c r="C28" s="535"/>
      <c r="D28" s="10" t="s">
        <v>8</v>
      </c>
      <c r="E28" s="14">
        <f t="shared" si="1"/>
        <v>0</v>
      </c>
      <c r="F28" s="61">
        <v>0</v>
      </c>
      <c r="G28" s="62">
        <v>0</v>
      </c>
      <c r="H28" s="153">
        <v>0</v>
      </c>
      <c r="I28" s="153">
        <v>0</v>
      </c>
      <c r="J28" s="153">
        <v>0</v>
      </c>
      <c r="K28" s="63">
        <v>0</v>
      </c>
      <c r="M28" s="464">
        <v>0.9</v>
      </c>
      <c r="N28" s="464">
        <v>1.1499999999999999</v>
      </c>
    </row>
    <row r="29" spans="1:14" outlineLevel="1" x14ac:dyDescent="0.25">
      <c r="A29" s="534"/>
      <c r="B29" s="535"/>
      <c r="C29" s="535"/>
      <c r="D29" s="10" t="s">
        <v>9</v>
      </c>
      <c r="E29" s="14">
        <f t="shared" si="1"/>
        <v>0</v>
      </c>
      <c r="F29" s="61">
        <v>0</v>
      </c>
      <c r="G29" s="62">
        <v>0</v>
      </c>
      <c r="H29" s="153">
        <v>0</v>
      </c>
      <c r="I29" s="153">
        <v>0</v>
      </c>
      <c r="J29" s="153">
        <v>0</v>
      </c>
      <c r="K29" s="63">
        <v>0</v>
      </c>
      <c r="M29" s="464">
        <v>0.83</v>
      </c>
      <c r="N29" s="464">
        <v>1.2</v>
      </c>
    </row>
    <row r="30" spans="1:14" outlineLevel="1" x14ac:dyDescent="0.25">
      <c r="A30" s="534"/>
      <c r="B30" s="535"/>
      <c r="C30" s="535"/>
      <c r="D30" s="10" t="s">
        <v>10</v>
      </c>
      <c r="E30" s="14">
        <f t="shared" si="1"/>
        <v>0</v>
      </c>
      <c r="F30" s="61">
        <v>0</v>
      </c>
      <c r="G30" s="62">
        <v>0</v>
      </c>
      <c r="H30" s="153">
        <v>0</v>
      </c>
      <c r="I30" s="153">
        <v>0</v>
      </c>
      <c r="J30" s="153">
        <v>0</v>
      </c>
      <c r="K30" s="63">
        <v>0</v>
      </c>
      <c r="M30" s="464">
        <v>0.7</v>
      </c>
      <c r="N30" s="464">
        <v>1.3</v>
      </c>
    </row>
    <row r="31" spans="1:14" outlineLevel="1" x14ac:dyDescent="0.25">
      <c r="A31" s="534"/>
      <c r="B31" s="535"/>
      <c r="C31" s="535"/>
      <c r="D31" s="10" t="s">
        <v>11</v>
      </c>
      <c r="E31" s="14">
        <f t="shared" si="1"/>
        <v>0</v>
      </c>
      <c r="F31" s="61">
        <v>0</v>
      </c>
      <c r="G31" s="62">
        <v>0</v>
      </c>
      <c r="H31" s="153">
        <v>0</v>
      </c>
      <c r="I31" s="153">
        <v>0</v>
      </c>
      <c r="J31" s="153">
        <v>0</v>
      </c>
      <c r="K31" s="63">
        <v>0</v>
      </c>
      <c r="M31" s="464">
        <v>0.6</v>
      </c>
      <c r="N31" s="464">
        <v>1.35</v>
      </c>
    </row>
    <row r="32" spans="1:14" outlineLevel="1" x14ac:dyDescent="0.25">
      <c r="A32" s="534"/>
      <c r="B32" s="535"/>
      <c r="C32" s="535"/>
      <c r="D32" s="10" t="s">
        <v>12</v>
      </c>
      <c r="E32" s="14">
        <f t="shared" si="1"/>
        <v>0</v>
      </c>
      <c r="F32" s="61">
        <v>0</v>
      </c>
      <c r="G32" s="62">
        <v>0</v>
      </c>
      <c r="H32" s="153">
        <v>0</v>
      </c>
      <c r="I32" s="153">
        <v>0</v>
      </c>
      <c r="J32" s="153">
        <v>0</v>
      </c>
      <c r="K32" s="63">
        <v>0</v>
      </c>
      <c r="M32" s="464">
        <v>0.48</v>
      </c>
      <c r="N32" s="464">
        <v>1.55</v>
      </c>
    </row>
    <row r="33" spans="1:14" ht="15.75" outlineLevel="1" thickBot="1" x14ac:dyDescent="0.3">
      <c r="A33" s="534"/>
      <c r="B33" s="535"/>
      <c r="C33" s="535"/>
      <c r="D33" s="11" t="s">
        <v>13</v>
      </c>
      <c r="E33" s="14">
        <f t="shared" si="1"/>
        <v>0</v>
      </c>
      <c r="F33" s="61">
        <v>0</v>
      </c>
      <c r="G33" s="65">
        <v>0</v>
      </c>
      <c r="H33" s="153">
        <v>0</v>
      </c>
      <c r="I33" s="154">
        <v>0</v>
      </c>
      <c r="J33" s="154">
        <v>0</v>
      </c>
      <c r="K33" s="66">
        <v>0</v>
      </c>
      <c r="M33" s="464">
        <v>0.32</v>
      </c>
      <c r="N33" s="464">
        <v>1.8</v>
      </c>
    </row>
    <row r="34" spans="1:14" ht="15.75" thickBot="1" x14ac:dyDescent="0.3">
      <c r="A34" s="540" t="s">
        <v>53</v>
      </c>
      <c r="B34" s="540"/>
      <c r="C34" s="540"/>
      <c r="D34" s="18"/>
      <c r="E34" s="19">
        <f t="shared" ref="E34:F34" si="2">SUM(E35:E84)</f>
        <v>35934.059937599995</v>
      </c>
      <c r="F34" s="20">
        <f t="shared" si="2"/>
        <v>35934.059937599995</v>
      </c>
      <c r="G34" s="20">
        <f>SUM(G35:G84)</f>
        <v>0</v>
      </c>
      <c r="H34" s="147">
        <f t="shared" ref="H34:K34" si="3">SUM(H35:H84)</f>
        <v>0</v>
      </c>
      <c r="I34" s="147">
        <f t="shared" si="3"/>
        <v>0</v>
      </c>
      <c r="J34" s="147">
        <f>SUM(J35:J84)</f>
        <v>0</v>
      </c>
      <c r="K34" s="21">
        <f t="shared" si="3"/>
        <v>0</v>
      </c>
      <c r="L34" s="378" t="s">
        <v>443</v>
      </c>
    </row>
    <row r="35" spans="1:14" outlineLevel="1" x14ac:dyDescent="0.25">
      <c r="A35" s="534" t="s">
        <v>58</v>
      </c>
      <c r="B35" s="535" t="s">
        <v>45</v>
      </c>
      <c r="C35" s="535">
        <v>635002</v>
      </c>
      <c r="D35" s="9" t="s">
        <v>4</v>
      </c>
      <c r="E35" s="13">
        <f t="shared" ref="E35:E66" si="4">SUM(F35:K35)</f>
        <v>0</v>
      </c>
      <c r="F35" s="59">
        <v>0</v>
      </c>
      <c r="G35" s="59">
        <v>0</v>
      </c>
      <c r="H35" s="152">
        <v>0</v>
      </c>
      <c r="I35" s="152">
        <v>0</v>
      </c>
      <c r="J35" s="152">
        <v>0</v>
      </c>
      <c r="K35" s="60">
        <v>0</v>
      </c>
      <c r="L35" s="378" t="s">
        <v>444</v>
      </c>
    </row>
    <row r="36" spans="1:14" outlineLevel="1" x14ac:dyDescent="0.25">
      <c r="A36" s="534"/>
      <c r="B36" s="535"/>
      <c r="C36" s="535"/>
      <c r="D36" s="10" t="s">
        <v>5</v>
      </c>
      <c r="E36" s="14">
        <f t="shared" si="4"/>
        <v>0</v>
      </c>
      <c r="F36" s="62">
        <f>F4*0.1</f>
        <v>0</v>
      </c>
      <c r="G36" s="62">
        <f>G4*0.1</f>
        <v>0</v>
      </c>
      <c r="H36" s="153">
        <v>0</v>
      </c>
      <c r="I36" s="153">
        <v>0</v>
      </c>
      <c r="J36" s="153">
        <v>0</v>
      </c>
      <c r="K36" s="63">
        <v>0</v>
      </c>
    </row>
    <row r="37" spans="1:14" outlineLevel="1" x14ac:dyDescent="0.25">
      <c r="A37" s="534"/>
      <c r="B37" s="535"/>
      <c r="C37" s="535"/>
      <c r="D37" s="10" t="s">
        <v>6</v>
      </c>
      <c r="E37" s="14">
        <f t="shared" si="4"/>
        <v>0</v>
      </c>
      <c r="F37" s="61">
        <f t="shared" ref="F37" si="5">F36</f>
        <v>0</v>
      </c>
      <c r="G37" s="62">
        <f t="shared" ref="G37:G44" si="6">G36</f>
        <v>0</v>
      </c>
      <c r="H37" s="153">
        <v>0</v>
      </c>
      <c r="I37" s="153">
        <v>0</v>
      </c>
      <c r="J37" s="153">
        <v>0</v>
      </c>
      <c r="K37" s="63">
        <v>0</v>
      </c>
    </row>
    <row r="38" spans="1:14" outlineLevel="1" x14ac:dyDescent="0.25">
      <c r="A38" s="534"/>
      <c r="B38" s="535"/>
      <c r="C38" s="535"/>
      <c r="D38" s="10" t="s">
        <v>7</v>
      </c>
      <c r="E38" s="14">
        <f t="shared" si="4"/>
        <v>0</v>
      </c>
      <c r="F38" s="61">
        <f t="shared" ref="F38" si="7">F37</f>
        <v>0</v>
      </c>
      <c r="G38" s="62">
        <f t="shared" si="6"/>
        <v>0</v>
      </c>
      <c r="H38" s="153">
        <v>0</v>
      </c>
      <c r="I38" s="153">
        <v>0</v>
      </c>
      <c r="J38" s="153">
        <v>0</v>
      </c>
      <c r="K38" s="63">
        <v>0</v>
      </c>
    </row>
    <row r="39" spans="1:14" outlineLevel="1" x14ac:dyDescent="0.25">
      <c r="A39" s="534"/>
      <c r="B39" s="535"/>
      <c r="C39" s="535"/>
      <c r="D39" s="10" t="s">
        <v>8</v>
      </c>
      <c r="E39" s="14">
        <f t="shared" si="4"/>
        <v>0</v>
      </c>
      <c r="F39" s="61">
        <f t="shared" ref="F39" si="8">F38</f>
        <v>0</v>
      </c>
      <c r="G39" s="62">
        <f t="shared" si="6"/>
        <v>0</v>
      </c>
      <c r="H39" s="153">
        <v>0</v>
      </c>
      <c r="I39" s="153">
        <v>0</v>
      </c>
      <c r="J39" s="153">
        <v>0</v>
      </c>
      <c r="K39" s="63">
        <v>0</v>
      </c>
    </row>
    <row r="40" spans="1:14" outlineLevel="1" x14ac:dyDescent="0.25">
      <c r="A40" s="534"/>
      <c r="B40" s="535"/>
      <c r="C40" s="535"/>
      <c r="D40" s="10" t="s">
        <v>9</v>
      </c>
      <c r="E40" s="14">
        <f t="shared" si="4"/>
        <v>0</v>
      </c>
      <c r="F40" s="61">
        <f t="shared" ref="F40" si="9">F39</f>
        <v>0</v>
      </c>
      <c r="G40" s="62">
        <f t="shared" si="6"/>
        <v>0</v>
      </c>
      <c r="H40" s="153">
        <v>0</v>
      </c>
      <c r="I40" s="153">
        <v>0</v>
      </c>
      <c r="J40" s="153">
        <v>0</v>
      </c>
      <c r="K40" s="63">
        <v>0</v>
      </c>
    </row>
    <row r="41" spans="1:14" outlineLevel="1" x14ac:dyDescent="0.25">
      <c r="A41" s="534"/>
      <c r="B41" s="535"/>
      <c r="C41" s="535"/>
      <c r="D41" s="10" t="s">
        <v>10</v>
      </c>
      <c r="E41" s="14">
        <f t="shared" si="4"/>
        <v>0</v>
      </c>
      <c r="F41" s="61">
        <f t="shared" ref="F41" si="10">F40</f>
        <v>0</v>
      </c>
      <c r="G41" s="62">
        <f t="shared" si="6"/>
        <v>0</v>
      </c>
      <c r="H41" s="153">
        <v>0</v>
      </c>
      <c r="I41" s="153">
        <v>0</v>
      </c>
      <c r="J41" s="153">
        <v>0</v>
      </c>
      <c r="K41" s="63">
        <v>0</v>
      </c>
    </row>
    <row r="42" spans="1:14" outlineLevel="1" x14ac:dyDescent="0.25">
      <c r="A42" s="534"/>
      <c r="B42" s="535"/>
      <c r="C42" s="535"/>
      <c r="D42" s="10" t="s">
        <v>11</v>
      </c>
      <c r="E42" s="14">
        <f t="shared" si="4"/>
        <v>0</v>
      </c>
      <c r="F42" s="61">
        <f t="shared" ref="F42" si="11">F41</f>
        <v>0</v>
      </c>
      <c r="G42" s="62">
        <f t="shared" si="6"/>
        <v>0</v>
      </c>
      <c r="H42" s="153">
        <v>0</v>
      </c>
      <c r="I42" s="153">
        <v>0</v>
      </c>
      <c r="J42" s="153">
        <v>0</v>
      </c>
      <c r="K42" s="63">
        <v>0</v>
      </c>
    </row>
    <row r="43" spans="1:14" outlineLevel="1" x14ac:dyDescent="0.25">
      <c r="A43" s="534"/>
      <c r="B43" s="535"/>
      <c r="C43" s="535"/>
      <c r="D43" s="10" t="s">
        <v>12</v>
      </c>
      <c r="E43" s="14">
        <f t="shared" si="4"/>
        <v>0</v>
      </c>
      <c r="F43" s="61">
        <f t="shared" ref="F43" si="12">F42</f>
        <v>0</v>
      </c>
      <c r="G43" s="62">
        <f t="shared" si="6"/>
        <v>0</v>
      </c>
      <c r="H43" s="153">
        <v>0</v>
      </c>
      <c r="I43" s="153">
        <v>0</v>
      </c>
      <c r="J43" s="153">
        <v>0</v>
      </c>
      <c r="K43" s="63">
        <v>0</v>
      </c>
    </row>
    <row r="44" spans="1:14" ht="15.75" outlineLevel="1" thickBot="1" x14ac:dyDescent="0.3">
      <c r="A44" s="534"/>
      <c r="B44" s="535"/>
      <c r="C44" s="535"/>
      <c r="D44" s="11" t="s">
        <v>13</v>
      </c>
      <c r="E44" s="15">
        <f t="shared" si="4"/>
        <v>0</v>
      </c>
      <c r="F44" s="64">
        <f t="shared" ref="F44" si="13">F43</f>
        <v>0</v>
      </c>
      <c r="G44" s="65">
        <f t="shared" si="6"/>
        <v>0</v>
      </c>
      <c r="H44" s="154">
        <v>0</v>
      </c>
      <c r="I44" s="154">
        <v>0</v>
      </c>
      <c r="J44" s="154">
        <v>0</v>
      </c>
      <c r="K44" s="66">
        <v>0</v>
      </c>
    </row>
    <row r="45" spans="1:14" outlineLevel="1" x14ac:dyDescent="0.25">
      <c r="A45" s="534" t="s">
        <v>59</v>
      </c>
      <c r="B45" s="534" t="s">
        <v>57</v>
      </c>
      <c r="C45" s="535">
        <v>718002</v>
      </c>
      <c r="D45" s="9" t="s">
        <v>4</v>
      </c>
      <c r="E45" s="14">
        <f t="shared" si="4"/>
        <v>0</v>
      </c>
      <c r="F45" s="58">
        <v>0</v>
      </c>
      <c r="G45" s="59">
        <v>0</v>
      </c>
      <c r="H45" s="152">
        <v>0</v>
      </c>
      <c r="I45" s="152">
        <v>0</v>
      </c>
      <c r="J45" s="152">
        <v>0</v>
      </c>
      <c r="K45" s="60">
        <v>0</v>
      </c>
    </row>
    <row r="46" spans="1:14" outlineLevel="1" x14ac:dyDescent="0.25">
      <c r="A46" s="534"/>
      <c r="B46" s="535"/>
      <c r="C46" s="535"/>
      <c r="D46" s="10" t="s">
        <v>5</v>
      </c>
      <c r="E46" s="14">
        <f t="shared" si="4"/>
        <v>0</v>
      </c>
      <c r="F46" s="62">
        <v>0</v>
      </c>
      <c r="G46" s="62">
        <v>0</v>
      </c>
      <c r="H46" s="153">
        <v>0</v>
      </c>
      <c r="I46" s="153">
        <v>0</v>
      </c>
      <c r="J46" s="153">
        <v>0</v>
      </c>
      <c r="K46" s="63">
        <v>0</v>
      </c>
    </row>
    <row r="47" spans="1:14" outlineLevel="1" x14ac:dyDescent="0.25">
      <c r="A47" s="534"/>
      <c r="B47" s="535"/>
      <c r="C47" s="535"/>
      <c r="D47" s="10" t="s">
        <v>6</v>
      </c>
      <c r="E47" s="14">
        <f t="shared" si="4"/>
        <v>0</v>
      </c>
      <c r="F47" s="61">
        <v>0</v>
      </c>
      <c r="G47" s="62">
        <v>0</v>
      </c>
      <c r="H47" s="153">
        <v>0</v>
      </c>
      <c r="I47" s="153">
        <v>0</v>
      </c>
      <c r="J47" s="153">
        <v>0</v>
      </c>
      <c r="K47" s="63">
        <v>0</v>
      </c>
    </row>
    <row r="48" spans="1:14" outlineLevel="1" x14ac:dyDescent="0.25">
      <c r="A48" s="534"/>
      <c r="B48" s="535"/>
      <c r="C48" s="535"/>
      <c r="D48" s="10" t="s">
        <v>7</v>
      </c>
      <c r="E48" s="14">
        <f t="shared" si="4"/>
        <v>0</v>
      </c>
      <c r="F48" s="61">
        <v>0</v>
      </c>
      <c r="G48" s="62">
        <v>0</v>
      </c>
      <c r="H48" s="153">
        <v>0</v>
      </c>
      <c r="I48" s="153">
        <v>0</v>
      </c>
      <c r="J48" s="153">
        <v>0</v>
      </c>
      <c r="K48" s="63">
        <v>0</v>
      </c>
    </row>
    <row r="49" spans="1:11" outlineLevel="1" x14ac:dyDescent="0.25">
      <c r="A49" s="534"/>
      <c r="B49" s="535"/>
      <c r="C49" s="535"/>
      <c r="D49" s="10" t="s">
        <v>8</v>
      </c>
      <c r="E49" s="14">
        <f t="shared" si="4"/>
        <v>0</v>
      </c>
      <c r="F49" s="61">
        <v>0</v>
      </c>
      <c r="G49" s="62">
        <v>0</v>
      </c>
      <c r="H49" s="153">
        <v>0</v>
      </c>
      <c r="I49" s="153">
        <v>0</v>
      </c>
      <c r="J49" s="153">
        <v>0</v>
      </c>
      <c r="K49" s="63">
        <v>0</v>
      </c>
    </row>
    <row r="50" spans="1:11" outlineLevel="1" x14ac:dyDescent="0.25">
      <c r="A50" s="534"/>
      <c r="B50" s="535"/>
      <c r="C50" s="535"/>
      <c r="D50" s="10" t="s">
        <v>9</v>
      </c>
      <c r="E50" s="14">
        <f t="shared" si="4"/>
        <v>0</v>
      </c>
      <c r="F50" s="61">
        <v>0</v>
      </c>
      <c r="G50" s="62">
        <f>G$4*25%</f>
        <v>0</v>
      </c>
      <c r="H50" s="153">
        <v>0</v>
      </c>
      <c r="I50" s="153">
        <v>0</v>
      </c>
      <c r="J50" s="153">
        <v>0</v>
      </c>
      <c r="K50" s="63">
        <v>0</v>
      </c>
    </row>
    <row r="51" spans="1:11" outlineLevel="1" x14ac:dyDescent="0.25">
      <c r="A51" s="534"/>
      <c r="B51" s="535"/>
      <c r="C51" s="535"/>
      <c r="D51" s="10" t="s">
        <v>10</v>
      </c>
      <c r="E51" s="14">
        <f t="shared" si="4"/>
        <v>0</v>
      </c>
      <c r="F51" s="61">
        <v>0</v>
      </c>
      <c r="G51" s="62">
        <f>G5</f>
        <v>0</v>
      </c>
      <c r="H51" s="153">
        <v>0</v>
      </c>
      <c r="I51" s="153">
        <v>0</v>
      </c>
      <c r="J51" s="153">
        <v>0</v>
      </c>
      <c r="K51" s="63">
        <v>0</v>
      </c>
    </row>
    <row r="52" spans="1:11" outlineLevel="1" x14ac:dyDescent="0.25">
      <c r="A52" s="534"/>
      <c r="B52" s="535"/>
      <c r="C52" s="535"/>
      <c r="D52" s="10" t="s">
        <v>11</v>
      </c>
      <c r="E52" s="14">
        <f t="shared" si="4"/>
        <v>0</v>
      </c>
      <c r="F52" s="61">
        <v>0</v>
      </c>
      <c r="G52" s="62">
        <f>G6</f>
        <v>0</v>
      </c>
      <c r="H52" s="153">
        <v>0</v>
      </c>
      <c r="I52" s="153">
        <v>0</v>
      </c>
      <c r="J52" s="153">
        <v>0</v>
      </c>
      <c r="K52" s="63">
        <v>0</v>
      </c>
    </row>
    <row r="53" spans="1:11" outlineLevel="1" x14ac:dyDescent="0.25">
      <c r="A53" s="534"/>
      <c r="B53" s="535"/>
      <c r="C53" s="535"/>
      <c r="D53" s="10" t="s">
        <v>12</v>
      </c>
      <c r="E53" s="14">
        <f t="shared" si="4"/>
        <v>0</v>
      </c>
      <c r="F53" s="61">
        <v>0</v>
      </c>
      <c r="G53" s="62">
        <f>G$4*25%</f>
        <v>0</v>
      </c>
      <c r="H53" s="153">
        <v>0</v>
      </c>
      <c r="I53" s="153">
        <v>0</v>
      </c>
      <c r="J53" s="153">
        <v>0</v>
      </c>
      <c r="K53" s="63">
        <v>0</v>
      </c>
    </row>
    <row r="54" spans="1:11" ht="15.75" outlineLevel="1" thickBot="1" x14ac:dyDescent="0.3">
      <c r="A54" s="534"/>
      <c r="B54" s="535"/>
      <c r="C54" s="535"/>
      <c r="D54" s="11" t="s">
        <v>13</v>
      </c>
      <c r="E54" s="15">
        <f t="shared" si="4"/>
        <v>0</v>
      </c>
      <c r="F54" s="64">
        <v>0</v>
      </c>
      <c r="G54" s="65">
        <v>0</v>
      </c>
      <c r="H54" s="154">
        <v>0</v>
      </c>
      <c r="I54" s="154">
        <v>0</v>
      </c>
      <c r="J54" s="154">
        <v>0</v>
      </c>
      <c r="K54" s="66">
        <v>0</v>
      </c>
    </row>
    <row r="55" spans="1:11" outlineLevel="1" x14ac:dyDescent="0.25">
      <c r="A55" s="534" t="s">
        <v>204</v>
      </c>
      <c r="B55" s="535"/>
      <c r="C55" s="543">
        <v>637005</v>
      </c>
      <c r="D55" s="9" t="s">
        <v>4</v>
      </c>
      <c r="E55" s="14">
        <f t="shared" si="4"/>
        <v>0</v>
      </c>
      <c r="F55" s="58">
        <v>0</v>
      </c>
      <c r="G55" s="59">
        <v>0</v>
      </c>
      <c r="H55" s="152">
        <v>0</v>
      </c>
      <c r="I55" s="152">
        <v>0</v>
      </c>
      <c r="J55" s="152">
        <v>0</v>
      </c>
      <c r="K55" s="60">
        <v>0</v>
      </c>
    </row>
    <row r="56" spans="1:11" outlineLevel="1" x14ac:dyDescent="0.25">
      <c r="A56" s="534"/>
      <c r="B56" s="535"/>
      <c r="C56" s="535"/>
      <c r="D56" s="10" t="s">
        <v>5</v>
      </c>
      <c r="E56" s="14">
        <f t="shared" si="4"/>
        <v>0</v>
      </c>
      <c r="F56" s="62">
        <v>0</v>
      </c>
      <c r="G56" s="62">
        <v>0</v>
      </c>
      <c r="H56" s="153">
        <v>0</v>
      </c>
      <c r="I56" s="153">
        <v>0</v>
      </c>
      <c r="J56" s="153">
        <v>0</v>
      </c>
      <c r="K56" s="63">
        <v>0</v>
      </c>
    </row>
    <row r="57" spans="1:11" outlineLevel="1" x14ac:dyDescent="0.25">
      <c r="A57" s="534"/>
      <c r="B57" s="535"/>
      <c r="C57" s="535"/>
      <c r="D57" s="10" t="s">
        <v>6</v>
      </c>
      <c r="E57" s="14">
        <f t="shared" si="4"/>
        <v>0</v>
      </c>
      <c r="F57" s="61">
        <v>0</v>
      </c>
      <c r="G57" s="62">
        <v>0</v>
      </c>
      <c r="H57" s="153">
        <v>0</v>
      </c>
      <c r="I57" s="153">
        <v>0</v>
      </c>
      <c r="J57" s="153">
        <v>0</v>
      </c>
      <c r="K57" s="63">
        <v>0</v>
      </c>
    </row>
    <row r="58" spans="1:11" outlineLevel="1" x14ac:dyDescent="0.25">
      <c r="A58" s="534"/>
      <c r="B58" s="535"/>
      <c r="C58" s="535"/>
      <c r="D58" s="10" t="s">
        <v>7</v>
      </c>
      <c r="E58" s="14">
        <f t="shared" si="4"/>
        <v>0</v>
      </c>
      <c r="F58" s="62">
        <v>0</v>
      </c>
      <c r="G58" s="62">
        <v>0</v>
      </c>
      <c r="H58" s="153">
        <v>0</v>
      </c>
      <c r="I58" s="153">
        <v>0</v>
      </c>
      <c r="J58" s="153">
        <v>0</v>
      </c>
      <c r="K58" s="63">
        <v>0</v>
      </c>
    </row>
    <row r="59" spans="1:11" outlineLevel="1" x14ac:dyDescent="0.25">
      <c r="A59" s="534"/>
      <c r="B59" s="535"/>
      <c r="C59" s="535"/>
      <c r="D59" s="10" t="s">
        <v>8</v>
      </c>
      <c r="E59" s="14">
        <f t="shared" si="4"/>
        <v>0</v>
      </c>
      <c r="F59" s="61">
        <v>0</v>
      </c>
      <c r="G59" s="62">
        <v>0</v>
      </c>
      <c r="H59" s="153">
        <v>0</v>
      </c>
      <c r="I59" s="153">
        <v>0</v>
      </c>
      <c r="J59" s="153">
        <v>0</v>
      </c>
      <c r="K59" s="63">
        <v>0</v>
      </c>
    </row>
    <row r="60" spans="1:11" outlineLevel="1" x14ac:dyDescent="0.25">
      <c r="A60" s="534"/>
      <c r="B60" s="535"/>
      <c r="C60" s="535"/>
      <c r="D60" s="10" t="s">
        <v>9</v>
      </c>
      <c r="E60" s="14">
        <f t="shared" si="4"/>
        <v>0</v>
      </c>
      <c r="F60" s="62">
        <v>0</v>
      </c>
      <c r="G60" s="62">
        <v>0</v>
      </c>
      <c r="H60" s="153">
        <v>0</v>
      </c>
      <c r="I60" s="153">
        <v>0</v>
      </c>
      <c r="J60" s="153">
        <v>0</v>
      </c>
      <c r="K60" s="63">
        <v>0</v>
      </c>
    </row>
    <row r="61" spans="1:11" outlineLevel="1" x14ac:dyDescent="0.25">
      <c r="A61" s="534"/>
      <c r="B61" s="535"/>
      <c r="C61" s="535"/>
      <c r="D61" s="10" t="s">
        <v>10</v>
      </c>
      <c r="E61" s="14">
        <f t="shared" si="4"/>
        <v>0</v>
      </c>
      <c r="F61" s="61">
        <v>0</v>
      </c>
      <c r="G61" s="62">
        <v>0</v>
      </c>
      <c r="H61" s="153">
        <v>0</v>
      </c>
      <c r="I61" s="153">
        <v>0</v>
      </c>
      <c r="J61" s="153">
        <v>0</v>
      </c>
      <c r="K61" s="63">
        <v>0</v>
      </c>
    </row>
    <row r="62" spans="1:11" outlineLevel="1" x14ac:dyDescent="0.25">
      <c r="A62" s="534"/>
      <c r="B62" s="535"/>
      <c r="C62" s="535"/>
      <c r="D62" s="10" t="s">
        <v>11</v>
      </c>
      <c r="E62" s="14">
        <f t="shared" si="4"/>
        <v>0</v>
      </c>
      <c r="F62" s="62">
        <v>0</v>
      </c>
      <c r="G62" s="62">
        <v>0</v>
      </c>
      <c r="H62" s="153">
        <v>0</v>
      </c>
      <c r="I62" s="153">
        <v>0</v>
      </c>
      <c r="J62" s="153">
        <v>0</v>
      </c>
      <c r="K62" s="63">
        <v>0</v>
      </c>
    </row>
    <row r="63" spans="1:11" outlineLevel="1" x14ac:dyDescent="0.25">
      <c r="A63" s="534"/>
      <c r="B63" s="535"/>
      <c r="C63" s="535"/>
      <c r="D63" s="10" t="s">
        <v>12</v>
      </c>
      <c r="E63" s="14">
        <f t="shared" si="4"/>
        <v>0</v>
      </c>
      <c r="F63" s="61">
        <v>0</v>
      </c>
      <c r="G63" s="62">
        <v>0</v>
      </c>
      <c r="H63" s="153">
        <v>0</v>
      </c>
      <c r="I63" s="153">
        <v>0</v>
      </c>
      <c r="J63" s="153">
        <v>0</v>
      </c>
      <c r="K63" s="63">
        <v>0</v>
      </c>
    </row>
    <row r="64" spans="1:11" ht="15.75" outlineLevel="1" thickBot="1" x14ac:dyDescent="0.3">
      <c r="A64" s="534"/>
      <c r="B64" s="535"/>
      <c r="C64" s="535"/>
      <c r="D64" s="11" t="s">
        <v>13</v>
      </c>
      <c r="E64" s="15">
        <f t="shared" si="4"/>
        <v>0</v>
      </c>
      <c r="F64" s="62">
        <v>0</v>
      </c>
      <c r="G64" s="62">
        <v>0</v>
      </c>
      <c r="H64" s="154">
        <v>0</v>
      </c>
      <c r="I64" s="154">
        <v>0</v>
      </c>
      <c r="J64" s="154">
        <v>0</v>
      </c>
      <c r="K64" s="66">
        <v>0</v>
      </c>
    </row>
    <row r="65" spans="1:11" outlineLevel="1" x14ac:dyDescent="0.25">
      <c r="A65" s="534" t="s">
        <v>61</v>
      </c>
      <c r="B65" s="535"/>
      <c r="C65" s="535"/>
      <c r="D65" s="9" t="s">
        <v>4</v>
      </c>
      <c r="E65" s="14">
        <f t="shared" si="4"/>
        <v>0</v>
      </c>
      <c r="F65" s="58">
        <v>0</v>
      </c>
      <c r="G65" s="59">
        <v>0</v>
      </c>
      <c r="H65" s="152">
        <v>0</v>
      </c>
      <c r="I65" s="152">
        <v>0</v>
      </c>
      <c r="J65" s="152">
        <v>0</v>
      </c>
      <c r="K65" s="60">
        <v>0</v>
      </c>
    </row>
    <row r="66" spans="1:11" outlineLevel="1" x14ac:dyDescent="0.25">
      <c r="A66" s="534"/>
      <c r="B66" s="535"/>
      <c r="C66" s="535"/>
      <c r="D66" s="10" t="s">
        <v>5</v>
      </c>
      <c r="E66" s="14">
        <f t="shared" si="4"/>
        <v>0</v>
      </c>
      <c r="F66" s="61">
        <v>0</v>
      </c>
      <c r="G66" s="62">
        <v>0</v>
      </c>
      <c r="H66" s="153">
        <v>0</v>
      </c>
      <c r="I66" s="153">
        <v>0</v>
      </c>
      <c r="J66" s="153">
        <v>0</v>
      </c>
      <c r="K66" s="63">
        <v>0</v>
      </c>
    </row>
    <row r="67" spans="1:11" outlineLevel="1" x14ac:dyDescent="0.25">
      <c r="A67" s="534"/>
      <c r="B67" s="535"/>
      <c r="C67" s="535"/>
      <c r="D67" s="10" t="s">
        <v>6</v>
      </c>
      <c r="E67" s="14">
        <f t="shared" ref="E67:E84" si="14">SUM(F67:K67)</f>
        <v>0</v>
      </c>
      <c r="F67" s="61">
        <v>0</v>
      </c>
      <c r="G67" s="62">
        <v>0</v>
      </c>
      <c r="H67" s="153">
        <v>0</v>
      </c>
      <c r="I67" s="153">
        <v>0</v>
      </c>
      <c r="J67" s="153">
        <v>0</v>
      </c>
      <c r="K67" s="63">
        <v>0</v>
      </c>
    </row>
    <row r="68" spans="1:11" outlineLevel="1" x14ac:dyDescent="0.25">
      <c r="A68" s="534"/>
      <c r="B68" s="535"/>
      <c r="C68" s="535"/>
      <c r="D68" s="10" t="s">
        <v>7</v>
      </c>
      <c r="E68" s="14">
        <f t="shared" si="14"/>
        <v>0</v>
      </c>
      <c r="F68" s="61">
        <v>0</v>
      </c>
      <c r="G68" s="62">
        <v>0</v>
      </c>
      <c r="H68" s="153">
        <v>0</v>
      </c>
      <c r="I68" s="153">
        <v>0</v>
      </c>
      <c r="J68" s="153">
        <v>0</v>
      </c>
      <c r="K68" s="63">
        <v>0</v>
      </c>
    </row>
    <row r="69" spans="1:11" outlineLevel="1" x14ac:dyDescent="0.25">
      <c r="A69" s="534"/>
      <c r="B69" s="535"/>
      <c r="C69" s="535"/>
      <c r="D69" s="10" t="s">
        <v>8</v>
      </c>
      <c r="E69" s="14">
        <f t="shared" si="14"/>
        <v>0</v>
      </c>
      <c r="F69" s="61">
        <v>0</v>
      </c>
      <c r="G69" s="62">
        <v>0</v>
      </c>
      <c r="H69" s="153">
        <v>0</v>
      </c>
      <c r="I69" s="153">
        <v>0</v>
      </c>
      <c r="J69" s="153">
        <v>0</v>
      </c>
      <c r="K69" s="63">
        <v>0</v>
      </c>
    </row>
    <row r="70" spans="1:11" outlineLevel="1" x14ac:dyDescent="0.25">
      <c r="A70" s="534"/>
      <c r="B70" s="535"/>
      <c r="C70" s="535"/>
      <c r="D70" s="10" t="s">
        <v>9</v>
      </c>
      <c r="E70" s="14">
        <f t="shared" si="14"/>
        <v>0</v>
      </c>
      <c r="F70" s="61">
        <v>0</v>
      </c>
      <c r="G70" s="62">
        <v>0</v>
      </c>
      <c r="H70" s="153">
        <v>0</v>
      </c>
      <c r="I70" s="153">
        <v>0</v>
      </c>
      <c r="J70" s="153">
        <v>0</v>
      </c>
      <c r="K70" s="63">
        <v>0</v>
      </c>
    </row>
    <row r="71" spans="1:11" outlineLevel="1" x14ac:dyDescent="0.25">
      <c r="A71" s="534"/>
      <c r="B71" s="535"/>
      <c r="C71" s="535"/>
      <c r="D71" s="10" t="s">
        <v>10</v>
      </c>
      <c r="E71" s="14">
        <f t="shared" si="14"/>
        <v>0</v>
      </c>
      <c r="F71" s="61">
        <v>0</v>
      </c>
      <c r="G71" s="62">
        <v>0</v>
      </c>
      <c r="H71" s="153">
        <v>0</v>
      </c>
      <c r="I71" s="153">
        <v>0</v>
      </c>
      <c r="J71" s="153">
        <v>0</v>
      </c>
      <c r="K71" s="63">
        <v>0</v>
      </c>
    </row>
    <row r="72" spans="1:11" outlineLevel="1" x14ac:dyDescent="0.25">
      <c r="A72" s="534"/>
      <c r="B72" s="535"/>
      <c r="C72" s="535"/>
      <c r="D72" s="10" t="s">
        <v>11</v>
      </c>
      <c r="E72" s="14">
        <f t="shared" si="14"/>
        <v>0</v>
      </c>
      <c r="F72" s="61">
        <v>0</v>
      </c>
      <c r="G72" s="62">
        <v>0</v>
      </c>
      <c r="H72" s="153">
        <v>0</v>
      </c>
      <c r="I72" s="153">
        <v>0</v>
      </c>
      <c r="J72" s="153">
        <v>0</v>
      </c>
      <c r="K72" s="63">
        <v>0</v>
      </c>
    </row>
    <row r="73" spans="1:11" outlineLevel="1" x14ac:dyDescent="0.25">
      <c r="A73" s="534"/>
      <c r="B73" s="535"/>
      <c r="C73" s="535"/>
      <c r="D73" s="10" t="s">
        <v>12</v>
      </c>
      <c r="E73" s="14">
        <f t="shared" si="14"/>
        <v>0</v>
      </c>
      <c r="F73" s="61">
        <v>0</v>
      </c>
      <c r="G73" s="62">
        <v>0</v>
      </c>
      <c r="H73" s="153">
        <v>0</v>
      </c>
      <c r="I73" s="153">
        <v>0</v>
      </c>
      <c r="J73" s="153">
        <v>0</v>
      </c>
      <c r="K73" s="63">
        <v>0</v>
      </c>
    </row>
    <row r="74" spans="1:11" ht="15.75" outlineLevel="1" thickBot="1" x14ac:dyDescent="0.3">
      <c r="A74" s="534"/>
      <c r="B74" s="535"/>
      <c r="C74" s="535"/>
      <c r="D74" s="11" t="s">
        <v>13</v>
      </c>
      <c r="E74" s="15">
        <f t="shared" si="14"/>
        <v>0</v>
      </c>
      <c r="F74" s="64">
        <v>0</v>
      </c>
      <c r="G74" s="65">
        <v>0</v>
      </c>
      <c r="H74" s="154">
        <v>0</v>
      </c>
      <c r="I74" s="154">
        <v>0</v>
      </c>
      <c r="J74" s="154">
        <v>0</v>
      </c>
      <c r="K74" s="66">
        <v>0</v>
      </c>
    </row>
    <row r="75" spans="1:11" ht="15" customHeight="1" outlineLevel="1" x14ac:dyDescent="0.25">
      <c r="A75" s="534" t="s">
        <v>213</v>
      </c>
      <c r="B75" s="535" t="s">
        <v>42</v>
      </c>
      <c r="C75" s="535">
        <v>637001</v>
      </c>
      <c r="D75" s="9" t="s">
        <v>4</v>
      </c>
      <c r="E75" s="14">
        <f t="shared" si="14"/>
        <v>0</v>
      </c>
      <c r="F75" s="58">
        <v>0</v>
      </c>
      <c r="G75" s="59">
        <v>0</v>
      </c>
      <c r="H75" s="152">
        <v>0</v>
      </c>
      <c r="I75" s="152">
        <v>0</v>
      </c>
      <c r="J75" s="152">
        <v>0</v>
      </c>
      <c r="K75" s="60">
        <v>0</v>
      </c>
    </row>
    <row r="76" spans="1:11" outlineLevel="1" x14ac:dyDescent="0.25">
      <c r="A76" s="534"/>
      <c r="B76" s="535"/>
      <c r="C76" s="535"/>
      <c r="D76" s="10" t="s">
        <v>5</v>
      </c>
      <c r="E76" s="14">
        <f t="shared" si="14"/>
        <v>2365.3278</v>
      </c>
      <c r="F76" s="61">
        <f>M25*N25*'Rozpočet - HW a licencie'!$F$18/2</f>
        <v>2365.3278</v>
      </c>
      <c r="G76" s="62">
        <v>0</v>
      </c>
      <c r="H76" s="153">
        <v>0</v>
      </c>
      <c r="I76" s="153">
        <v>0</v>
      </c>
      <c r="J76" s="153">
        <v>0</v>
      </c>
      <c r="K76" s="63">
        <v>0</v>
      </c>
    </row>
    <row r="77" spans="1:11" outlineLevel="1" x14ac:dyDescent="0.25">
      <c r="A77" s="534"/>
      <c r="B77" s="535"/>
      <c r="C77" s="535"/>
      <c r="D77" s="10" t="s">
        <v>6</v>
      </c>
      <c r="E77" s="14">
        <f t="shared" si="14"/>
        <v>4636.042488</v>
      </c>
      <c r="F77" s="61">
        <f>M26*N26*'Rozpočet - HW a licencie'!$F$18</f>
        <v>4636.042488</v>
      </c>
      <c r="G77" s="62">
        <v>0</v>
      </c>
      <c r="H77" s="153">
        <v>0</v>
      </c>
      <c r="I77" s="153">
        <v>0</v>
      </c>
      <c r="J77" s="153">
        <v>0</v>
      </c>
      <c r="K77" s="63">
        <v>0</v>
      </c>
    </row>
    <row r="78" spans="1:11" outlineLevel="1" x14ac:dyDescent="0.25">
      <c r="A78" s="534"/>
      <c r="B78" s="535"/>
      <c r="C78" s="535"/>
      <c r="D78" s="10" t="s">
        <v>7</v>
      </c>
      <c r="E78" s="14">
        <f t="shared" si="14"/>
        <v>4943.5351019999998</v>
      </c>
      <c r="F78" s="61">
        <f>M27*N27*'Rozpočet - HW a licencie'!$F$18</f>
        <v>4943.5351019999998</v>
      </c>
      <c r="G78" s="62">
        <v>0</v>
      </c>
      <c r="H78" s="153">
        <v>0</v>
      </c>
      <c r="I78" s="153">
        <v>0</v>
      </c>
      <c r="J78" s="153">
        <v>0</v>
      </c>
      <c r="K78" s="63">
        <v>0</v>
      </c>
    </row>
    <row r="79" spans="1:11" outlineLevel="1" x14ac:dyDescent="0.25">
      <c r="A79" s="534"/>
      <c r="B79" s="535"/>
      <c r="C79" s="535"/>
      <c r="D79" s="10" t="s">
        <v>8</v>
      </c>
      <c r="E79" s="14">
        <f t="shared" si="14"/>
        <v>4896.2285459999994</v>
      </c>
      <c r="F79" s="61">
        <f>M28*N28*'Rozpočet - HW a licencie'!$F$18</f>
        <v>4896.2285459999994</v>
      </c>
      <c r="G79" s="62">
        <v>0</v>
      </c>
      <c r="H79" s="153">
        <v>0</v>
      </c>
      <c r="I79" s="153">
        <v>0</v>
      </c>
      <c r="J79" s="153">
        <v>0</v>
      </c>
      <c r="K79" s="63">
        <v>0</v>
      </c>
    </row>
    <row r="80" spans="1:11" outlineLevel="1" x14ac:dyDescent="0.25">
      <c r="A80" s="534"/>
      <c r="B80" s="535"/>
      <c r="C80" s="535"/>
      <c r="D80" s="10" t="s">
        <v>9</v>
      </c>
      <c r="E80" s="14">
        <f t="shared" si="14"/>
        <v>4711.7329775999997</v>
      </c>
      <c r="F80" s="61">
        <f>M29*N29*'Rozpočet - HW a licencie'!$F$18</f>
        <v>4711.7329775999997</v>
      </c>
      <c r="G80" s="62">
        <v>0</v>
      </c>
      <c r="H80" s="153">
        <v>0</v>
      </c>
      <c r="I80" s="153">
        <v>0</v>
      </c>
      <c r="J80" s="153">
        <v>0</v>
      </c>
      <c r="K80" s="63">
        <v>0</v>
      </c>
    </row>
    <row r="81" spans="1:11" outlineLevel="1" x14ac:dyDescent="0.25">
      <c r="A81" s="534"/>
      <c r="B81" s="535"/>
      <c r="C81" s="535"/>
      <c r="D81" s="10" t="s">
        <v>10</v>
      </c>
      <c r="E81" s="14">
        <f t="shared" si="14"/>
        <v>4304.8965959999996</v>
      </c>
      <c r="F81" s="61">
        <f>M30*N30*'Rozpočet - HW a licencie'!$F$18</f>
        <v>4304.8965959999996</v>
      </c>
      <c r="G81" s="62">
        <v>0</v>
      </c>
      <c r="H81" s="153">
        <v>0</v>
      </c>
      <c r="I81" s="153">
        <v>0</v>
      </c>
      <c r="J81" s="153">
        <v>0</v>
      </c>
      <c r="K81" s="63">
        <v>0</v>
      </c>
    </row>
    <row r="82" spans="1:11" outlineLevel="1" x14ac:dyDescent="0.25">
      <c r="A82" s="534"/>
      <c r="B82" s="535"/>
      <c r="C82" s="535"/>
      <c r="D82" s="10" t="s">
        <v>11</v>
      </c>
      <c r="E82" s="14">
        <f t="shared" si="14"/>
        <v>3831.8310360000005</v>
      </c>
      <c r="F82" s="61">
        <f>M31*N31*'Rozpočet - HW a licencie'!$F$18</f>
        <v>3831.8310360000005</v>
      </c>
      <c r="G82" s="62">
        <v>0</v>
      </c>
      <c r="H82" s="153">
        <v>0</v>
      </c>
      <c r="I82" s="153">
        <v>0</v>
      </c>
      <c r="J82" s="153">
        <v>0</v>
      </c>
      <c r="K82" s="63">
        <v>0</v>
      </c>
    </row>
    <row r="83" spans="1:11" outlineLevel="1" x14ac:dyDescent="0.25">
      <c r="A83" s="534"/>
      <c r="B83" s="535"/>
      <c r="C83" s="535"/>
      <c r="D83" s="10" t="s">
        <v>12</v>
      </c>
      <c r="E83" s="14">
        <f t="shared" si="14"/>
        <v>3519.6077663999999</v>
      </c>
      <c r="F83" s="61">
        <f>M32*N32*'Rozpočet - HW a licencie'!$F$18</f>
        <v>3519.6077663999999</v>
      </c>
      <c r="G83" s="62">
        <v>0</v>
      </c>
      <c r="H83" s="153">
        <v>0</v>
      </c>
      <c r="I83" s="153">
        <v>0</v>
      </c>
      <c r="J83" s="153">
        <v>0</v>
      </c>
      <c r="K83" s="63">
        <v>0</v>
      </c>
    </row>
    <row r="84" spans="1:11" ht="15.75" outlineLevel="1" thickBot="1" x14ac:dyDescent="0.3">
      <c r="A84" s="534"/>
      <c r="B84" s="535"/>
      <c r="C84" s="535"/>
      <c r="D84" s="11" t="s">
        <v>13</v>
      </c>
      <c r="E84" s="15">
        <f t="shared" si="14"/>
        <v>2724.8576256000006</v>
      </c>
      <c r="F84" s="61">
        <f>M33*N33*'Rozpočet - HW a licencie'!$F$18</f>
        <v>2724.8576256000006</v>
      </c>
      <c r="G84" s="65">
        <v>0</v>
      </c>
      <c r="H84" s="153">
        <v>0</v>
      </c>
      <c r="I84" s="154">
        <v>0</v>
      </c>
      <c r="J84" s="154">
        <v>0</v>
      </c>
      <c r="K84" s="66">
        <v>0</v>
      </c>
    </row>
  </sheetData>
  <mergeCells count="28">
    <mergeCell ref="M22:N22"/>
    <mergeCell ref="A3:C3"/>
    <mergeCell ref="A24:A33"/>
    <mergeCell ref="B24:B33"/>
    <mergeCell ref="C24:C33"/>
    <mergeCell ref="A34:C34"/>
    <mergeCell ref="A4:A13"/>
    <mergeCell ref="B4:B13"/>
    <mergeCell ref="C4:C13"/>
    <mergeCell ref="A14:A23"/>
    <mergeCell ref="B14:B23"/>
    <mergeCell ref="C14:C23"/>
    <mergeCell ref="A1:D1"/>
    <mergeCell ref="A65:A74"/>
    <mergeCell ref="B65:B74"/>
    <mergeCell ref="C65:C74"/>
    <mergeCell ref="A75:A84"/>
    <mergeCell ref="B75:B84"/>
    <mergeCell ref="C75:C84"/>
    <mergeCell ref="A45:A54"/>
    <mergeCell ref="B45:B54"/>
    <mergeCell ref="C45:C54"/>
    <mergeCell ref="A55:A64"/>
    <mergeCell ref="B55:B64"/>
    <mergeCell ref="C55:C64"/>
    <mergeCell ref="A35:A44"/>
    <mergeCell ref="B35:B44"/>
    <mergeCell ref="C35:C44"/>
  </mergeCells>
  <pageMargins left="0.7" right="0.7" top="0.75" bottom="0.75" header="0.3" footer="0.3"/>
  <pageSetup paperSize="9" scale="39" orientation="portrait" r:id="rId1"/>
  <ignoredErrors>
    <ignoredError sqref="E34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CC"/>
  </sheetPr>
  <dimension ref="A1:AX195"/>
  <sheetViews>
    <sheetView zoomScale="115" zoomScaleNormal="115" zoomScaleSheetLayoutView="120" workbookViewId="0">
      <pane xSplit="1" ySplit="3" topLeftCell="B4" activePane="bottomRight" state="frozen"/>
      <selection sqref="A1:Y1"/>
      <selection pane="topRight" sqref="A1:Y1"/>
      <selection pane="bottomLeft" sqref="A1:Y1"/>
      <selection pane="bottomRight" activeCell="A143" sqref="A143:A144"/>
    </sheetView>
  </sheetViews>
  <sheetFormatPr defaultColWidth="8.7109375" defaultRowHeight="12" outlineLevelCol="1" x14ac:dyDescent="0.2"/>
  <cols>
    <col min="1" max="1" width="49.7109375" style="84" customWidth="1"/>
    <col min="2" max="2" width="25.42578125" style="84" customWidth="1"/>
    <col min="3" max="3" width="2.28515625" style="84" customWidth="1"/>
    <col min="4" max="9" width="2.28515625" style="250" customWidth="1"/>
    <col min="10" max="20" width="2.28515625" style="84" customWidth="1"/>
    <col min="21" max="32" width="2.28515625" style="250" customWidth="1" outlineLevel="1"/>
    <col min="33" max="34" width="8" style="84" customWidth="1"/>
    <col min="35" max="35" width="8.140625" style="84" customWidth="1"/>
    <col min="36" max="38" width="8" style="84" customWidth="1"/>
    <col min="39" max="39" width="10" style="84" customWidth="1"/>
    <col min="40" max="40" width="10.7109375" style="85" customWidth="1"/>
    <col min="41" max="42" width="10.7109375" style="84" customWidth="1"/>
    <col min="43" max="43" width="5.140625" style="84" customWidth="1"/>
    <col min="44" max="44" width="18" style="84" customWidth="1"/>
    <col min="45" max="45" width="11.28515625" style="84" bestFit="1" customWidth="1"/>
    <col min="46" max="46" width="10" style="84" bestFit="1" customWidth="1"/>
    <col min="47" max="48" width="8.7109375" style="84"/>
    <col min="49" max="49" width="11.140625" style="84" bestFit="1" customWidth="1"/>
    <col min="50" max="50" width="9.42578125" style="84" bestFit="1" customWidth="1"/>
    <col min="51" max="16384" width="8.7109375" style="84"/>
  </cols>
  <sheetData>
    <row r="1" spans="1:50" ht="12.75" thickBot="1" x14ac:dyDescent="0.25"/>
    <row r="2" spans="1:50" ht="36.75" customHeight="1" x14ac:dyDescent="0.2">
      <c r="A2" s="142" t="s">
        <v>242</v>
      </c>
      <c r="B2" s="143" t="s">
        <v>243</v>
      </c>
      <c r="C2" s="264" t="s">
        <v>83</v>
      </c>
      <c r="D2" s="265" t="s">
        <v>84</v>
      </c>
      <c r="E2" s="265" t="s">
        <v>85</v>
      </c>
      <c r="F2" s="265" t="s">
        <v>86</v>
      </c>
      <c r="G2" s="265" t="s">
        <v>87</v>
      </c>
      <c r="H2" s="266" t="s">
        <v>88</v>
      </c>
      <c r="I2" s="265" t="s">
        <v>89</v>
      </c>
      <c r="J2" s="265" t="s">
        <v>90</v>
      </c>
      <c r="K2" s="265" t="s">
        <v>91</v>
      </c>
      <c r="L2" s="265" t="s">
        <v>92</v>
      </c>
      <c r="M2" s="265" t="s">
        <v>93</v>
      </c>
      <c r="N2" s="265" t="s">
        <v>94</v>
      </c>
      <c r="O2" s="265" t="s">
        <v>95</v>
      </c>
      <c r="P2" s="265" t="s">
        <v>96</v>
      </c>
      <c r="Q2" s="265" t="s">
        <v>97</v>
      </c>
      <c r="R2" s="265" t="s">
        <v>98</v>
      </c>
      <c r="S2" s="265" t="s">
        <v>99</v>
      </c>
      <c r="T2" s="265" t="s">
        <v>100</v>
      </c>
      <c r="U2" s="265" t="s">
        <v>101</v>
      </c>
      <c r="V2" s="265" t="s">
        <v>102</v>
      </c>
      <c r="W2" s="265" t="s">
        <v>103</v>
      </c>
      <c r="X2" s="265" t="s">
        <v>104</v>
      </c>
      <c r="Y2" s="265" t="s">
        <v>203</v>
      </c>
      <c r="Z2" s="265" t="s">
        <v>105</v>
      </c>
      <c r="AA2" s="265" t="s">
        <v>200</v>
      </c>
      <c r="AB2" s="265" t="s">
        <v>197</v>
      </c>
      <c r="AC2" s="265" t="s">
        <v>201</v>
      </c>
      <c r="AD2" s="265" t="s">
        <v>198</v>
      </c>
      <c r="AE2" s="265" t="s">
        <v>202</v>
      </c>
      <c r="AF2" s="265" t="s">
        <v>199</v>
      </c>
      <c r="AG2" s="126" t="s">
        <v>106</v>
      </c>
      <c r="AH2" s="127" t="s">
        <v>107</v>
      </c>
      <c r="AI2" s="127" t="s">
        <v>108</v>
      </c>
      <c r="AJ2" s="127" t="s">
        <v>109</v>
      </c>
      <c r="AK2" s="127" t="s">
        <v>110</v>
      </c>
      <c r="AL2" s="127" t="s">
        <v>276</v>
      </c>
      <c r="AM2" s="126" t="s">
        <v>111</v>
      </c>
      <c r="AN2" s="125" t="s">
        <v>277</v>
      </c>
      <c r="AO2" s="126" t="s">
        <v>289</v>
      </c>
      <c r="AP2" s="127" t="s">
        <v>290</v>
      </c>
      <c r="AQ2" s="338"/>
      <c r="AR2" s="345" t="s">
        <v>293</v>
      </c>
      <c r="AS2" s="338" t="s">
        <v>334</v>
      </c>
      <c r="AT2" s="338" t="s">
        <v>335</v>
      </c>
      <c r="AU2" s="360" t="s">
        <v>337</v>
      </c>
      <c r="AV2" s="360" t="s">
        <v>338</v>
      </c>
      <c r="AW2" s="360" t="s">
        <v>336</v>
      </c>
      <c r="AX2" s="360" t="s">
        <v>339</v>
      </c>
    </row>
    <row r="3" spans="1:50" ht="14.25" customHeight="1" x14ac:dyDescent="0.2">
      <c r="A3" s="86"/>
      <c r="B3" s="87"/>
      <c r="C3" s="137"/>
      <c r="D3" s="253"/>
      <c r="E3" s="253"/>
      <c r="F3" s="253"/>
      <c r="G3" s="253"/>
      <c r="H3" s="254"/>
      <c r="I3" s="253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4"/>
      <c r="AG3" s="128"/>
      <c r="AH3" s="129"/>
      <c r="AI3" s="129"/>
      <c r="AJ3" s="129"/>
      <c r="AK3" s="129"/>
      <c r="AL3" s="129"/>
      <c r="AM3" s="128"/>
      <c r="AN3" s="136"/>
      <c r="AO3" s="128"/>
      <c r="AP3" s="129"/>
      <c r="AQ3" s="338"/>
      <c r="AR3" s="338"/>
      <c r="AS3" s="338"/>
      <c r="AT3" s="338"/>
      <c r="AU3" s="360"/>
      <c r="AV3" s="360"/>
      <c r="AW3" s="360"/>
      <c r="AX3" s="360"/>
    </row>
    <row r="4" spans="1:50" x14ac:dyDescent="0.2">
      <c r="A4" s="144" t="s">
        <v>210</v>
      </c>
      <c r="B4" s="88"/>
      <c r="C4" s="133">
        <v>1</v>
      </c>
      <c r="D4" s="251">
        <v>1</v>
      </c>
      <c r="E4" s="251">
        <v>1</v>
      </c>
      <c r="F4" s="251">
        <v>1</v>
      </c>
      <c r="G4" s="251">
        <v>1</v>
      </c>
      <c r="H4" s="252">
        <v>1</v>
      </c>
      <c r="I4" s="251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2"/>
      <c r="AG4" s="130"/>
      <c r="AH4" s="131"/>
      <c r="AI4" s="131"/>
      <c r="AJ4" s="131"/>
      <c r="AK4" s="131"/>
      <c r="AL4" s="131"/>
      <c r="AM4" s="224"/>
      <c r="AN4" s="225"/>
      <c r="AO4" s="89"/>
      <c r="AQ4" s="341"/>
      <c r="AR4" s="341"/>
    </row>
    <row r="5" spans="1:50" s="250" customFormat="1" x14ac:dyDescent="0.2">
      <c r="A5" s="144" t="s">
        <v>218</v>
      </c>
      <c r="B5" s="88"/>
      <c r="C5" s="157"/>
      <c r="D5" s="273"/>
      <c r="E5" s="273"/>
      <c r="F5" s="251"/>
      <c r="G5" s="251"/>
      <c r="H5" s="252"/>
      <c r="I5" s="274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6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6"/>
      <c r="AG5" s="130"/>
      <c r="AH5" s="131"/>
      <c r="AI5" s="131"/>
      <c r="AJ5" s="131"/>
      <c r="AK5" s="131"/>
      <c r="AL5" s="131"/>
      <c r="AM5" s="224"/>
      <c r="AN5" s="225"/>
      <c r="AO5" s="89"/>
      <c r="AQ5" s="341"/>
      <c r="AR5" s="341"/>
      <c r="AW5" s="361">
        <f>SUM(AN6:AN21)</f>
        <v>8885.293846153847</v>
      </c>
      <c r="AX5" s="362"/>
    </row>
    <row r="6" spans="1:50" ht="12.75" x14ac:dyDescent="0.2">
      <c r="A6" s="247" t="s">
        <v>225</v>
      </c>
      <c r="B6" s="88" t="s">
        <v>267</v>
      </c>
      <c r="C6" s="133"/>
      <c r="D6" s="251"/>
      <c r="E6" s="251"/>
      <c r="F6" s="251"/>
      <c r="G6" s="251"/>
      <c r="H6" s="252"/>
      <c r="I6" s="251">
        <v>1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2"/>
      <c r="AG6" s="228">
        <f>COUNTA(C6:AF6)*21</f>
        <v>21</v>
      </c>
      <c r="AH6" s="249">
        <f>COUNTA(C6:AF6)*21</f>
        <v>21</v>
      </c>
      <c r="AI6" s="141"/>
      <c r="AJ6" s="256">
        <v>0.01</v>
      </c>
      <c r="AK6" s="141"/>
      <c r="AL6" s="329">
        <f>B130</f>
        <v>764</v>
      </c>
      <c r="AM6" s="226">
        <f>AG6*AI6*AK6</f>
        <v>0</v>
      </c>
      <c r="AN6" s="227">
        <f t="shared" ref="AN6:AN113" si="0">AH6*AJ6*AL6</f>
        <v>160.44</v>
      </c>
      <c r="AO6" s="248">
        <f>AG6*AI6</f>
        <v>0</v>
      </c>
      <c r="AP6" s="84">
        <f>AH6*AJ6</f>
        <v>0.21</v>
      </c>
      <c r="AQ6" s="341"/>
      <c r="AR6" s="341"/>
      <c r="AS6" s="84">
        <f>SUM(I6:T6)</f>
        <v>1</v>
      </c>
      <c r="AT6" s="250">
        <f>SUM(U6:AF6)</f>
        <v>0</v>
      </c>
    </row>
    <row r="7" spans="1:50" s="250" customFormat="1" ht="12.75" x14ac:dyDescent="0.2">
      <c r="A7" s="247" t="s">
        <v>225</v>
      </c>
      <c r="B7" s="88" t="s">
        <v>244</v>
      </c>
      <c r="C7" s="133"/>
      <c r="D7" s="251"/>
      <c r="E7" s="251"/>
      <c r="F7" s="251"/>
      <c r="G7" s="251"/>
      <c r="H7" s="252"/>
      <c r="I7" s="251">
        <v>1</v>
      </c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2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2"/>
      <c r="AG7" s="228">
        <f t="shared" ref="AG7:AG114" si="1">COUNTA(C7:AF7)*21</f>
        <v>21</v>
      </c>
      <c r="AH7" s="261">
        <f t="shared" ref="AH7:AH114" si="2">COUNTA(C7:AF7)*21</f>
        <v>21</v>
      </c>
      <c r="AI7" s="256"/>
      <c r="AJ7" s="256">
        <v>0.1</v>
      </c>
      <c r="AK7" s="256"/>
      <c r="AL7" s="329">
        <f>B131</f>
        <v>660</v>
      </c>
      <c r="AM7" s="226">
        <f t="shared" ref="AM7:AN114" si="3">AG7*AI7*AK7</f>
        <v>0</v>
      </c>
      <c r="AN7" s="227">
        <f t="shared" si="0"/>
        <v>1386</v>
      </c>
      <c r="AO7" s="248">
        <f t="shared" ref="AO7:AO114" si="4">AG7*AI7</f>
        <v>0</v>
      </c>
      <c r="AP7" s="250">
        <f t="shared" ref="AP7:AP114" si="5">AH7*AJ7</f>
        <v>2.1</v>
      </c>
      <c r="AQ7" s="341"/>
      <c r="AR7" s="341"/>
      <c r="AS7" s="250">
        <f t="shared" ref="AS7:AS114" si="6">SUM(I7:T7)</f>
        <v>1</v>
      </c>
      <c r="AT7" s="250">
        <f t="shared" ref="AT7:AT114" si="7">SUM(U7:AF7)</f>
        <v>0</v>
      </c>
    </row>
    <row r="8" spans="1:50" s="250" customFormat="1" ht="12.75" x14ac:dyDescent="0.2">
      <c r="A8" s="247" t="s">
        <v>225</v>
      </c>
      <c r="B8" s="88" t="s">
        <v>268</v>
      </c>
      <c r="C8" s="133"/>
      <c r="D8" s="251"/>
      <c r="E8" s="251"/>
      <c r="F8" s="251"/>
      <c r="G8" s="251"/>
      <c r="H8" s="252"/>
      <c r="I8" s="251">
        <v>1</v>
      </c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  <c r="AG8" s="228">
        <f t="shared" si="1"/>
        <v>21</v>
      </c>
      <c r="AH8" s="261">
        <f t="shared" si="2"/>
        <v>21</v>
      </c>
      <c r="AI8" s="256"/>
      <c r="AJ8" s="256">
        <v>2.5000000000000001E-2</v>
      </c>
      <c r="AK8" s="256"/>
      <c r="AL8" s="329">
        <f>B133</f>
        <v>764</v>
      </c>
      <c r="AM8" s="226">
        <f t="shared" si="3"/>
        <v>0</v>
      </c>
      <c r="AN8" s="227">
        <f t="shared" si="0"/>
        <v>401.1</v>
      </c>
      <c r="AO8" s="248">
        <f t="shared" si="4"/>
        <v>0</v>
      </c>
      <c r="AP8" s="250">
        <f t="shared" si="5"/>
        <v>0.52500000000000002</v>
      </c>
      <c r="AQ8" s="341"/>
      <c r="AR8" s="341"/>
      <c r="AS8" s="250">
        <f t="shared" si="6"/>
        <v>1</v>
      </c>
      <c r="AT8" s="250">
        <f t="shared" si="7"/>
        <v>0</v>
      </c>
    </row>
    <row r="9" spans="1:50" s="250" customFormat="1" ht="12.75" x14ac:dyDescent="0.2">
      <c r="A9" s="247" t="s">
        <v>226</v>
      </c>
      <c r="B9" s="88" t="s">
        <v>267</v>
      </c>
      <c r="C9" s="133"/>
      <c r="D9" s="251"/>
      <c r="E9" s="251"/>
      <c r="F9" s="251"/>
      <c r="G9" s="251"/>
      <c r="H9" s="252"/>
      <c r="I9" s="251"/>
      <c r="J9" s="251">
        <v>1</v>
      </c>
      <c r="K9" s="251"/>
      <c r="L9" s="251"/>
      <c r="M9" s="251"/>
      <c r="N9" s="251"/>
      <c r="O9" s="251"/>
      <c r="P9" s="251"/>
      <c r="Q9" s="251"/>
      <c r="R9" s="251"/>
      <c r="S9" s="251"/>
      <c r="T9" s="252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2"/>
      <c r="AG9" s="228">
        <f t="shared" si="1"/>
        <v>21</v>
      </c>
      <c r="AH9" s="261">
        <f t="shared" si="2"/>
        <v>21</v>
      </c>
      <c r="AI9" s="256"/>
      <c r="AJ9" s="256">
        <v>0.01</v>
      </c>
      <c r="AK9" s="256"/>
      <c r="AL9" s="329">
        <f>B130</f>
        <v>764</v>
      </c>
      <c r="AM9" s="226">
        <f t="shared" si="3"/>
        <v>0</v>
      </c>
      <c r="AN9" s="227">
        <f t="shared" si="0"/>
        <v>160.44</v>
      </c>
      <c r="AO9" s="248">
        <f t="shared" si="4"/>
        <v>0</v>
      </c>
      <c r="AP9" s="250">
        <f t="shared" si="5"/>
        <v>0.21</v>
      </c>
      <c r="AQ9" s="341"/>
      <c r="AR9" s="341"/>
      <c r="AS9" s="250">
        <f t="shared" si="6"/>
        <v>1</v>
      </c>
      <c r="AT9" s="250">
        <f t="shared" si="7"/>
        <v>0</v>
      </c>
    </row>
    <row r="10" spans="1:50" s="250" customFormat="1" ht="12.75" x14ac:dyDescent="0.2">
      <c r="A10" s="247" t="s">
        <v>226</v>
      </c>
      <c r="B10" s="88" t="s">
        <v>245</v>
      </c>
      <c r="C10" s="133"/>
      <c r="D10" s="251"/>
      <c r="E10" s="251"/>
      <c r="F10" s="251"/>
      <c r="G10" s="251"/>
      <c r="H10" s="252"/>
      <c r="I10" s="251"/>
      <c r="J10" s="251">
        <v>1</v>
      </c>
      <c r="K10" s="251"/>
      <c r="L10" s="251"/>
      <c r="M10" s="251"/>
      <c r="N10" s="251"/>
      <c r="O10" s="251"/>
      <c r="P10" s="251"/>
      <c r="Q10" s="251"/>
      <c r="R10" s="251"/>
      <c r="S10" s="251"/>
      <c r="T10" s="252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2"/>
      <c r="AG10" s="228">
        <f t="shared" si="1"/>
        <v>21</v>
      </c>
      <c r="AH10" s="261">
        <f t="shared" si="2"/>
        <v>21</v>
      </c>
      <c r="AI10" s="256"/>
      <c r="AJ10" s="256">
        <v>2.5000000000000001E-2</v>
      </c>
      <c r="AK10" s="256"/>
      <c r="AL10" s="329">
        <f>B135</f>
        <v>768</v>
      </c>
      <c r="AM10" s="226">
        <f t="shared" si="3"/>
        <v>0</v>
      </c>
      <c r="AN10" s="227">
        <f t="shared" si="0"/>
        <v>403.20000000000005</v>
      </c>
      <c r="AO10" s="248">
        <f t="shared" si="4"/>
        <v>0</v>
      </c>
      <c r="AP10" s="250">
        <f t="shared" si="5"/>
        <v>0.52500000000000002</v>
      </c>
      <c r="AQ10" s="341"/>
      <c r="AR10" s="341"/>
      <c r="AS10" s="250">
        <f t="shared" si="6"/>
        <v>1</v>
      </c>
      <c r="AT10" s="250">
        <f t="shared" si="7"/>
        <v>0</v>
      </c>
    </row>
    <row r="11" spans="1:50" s="250" customFormat="1" ht="12.75" x14ac:dyDescent="0.2">
      <c r="A11" s="247" t="s">
        <v>226</v>
      </c>
      <c r="B11" s="88" t="s">
        <v>250</v>
      </c>
      <c r="C11" s="133"/>
      <c r="D11" s="251"/>
      <c r="E11" s="251"/>
      <c r="F11" s="251"/>
      <c r="G11" s="251"/>
      <c r="H11" s="252"/>
      <c r="I11" s="251"/>
      <c r="J11" s="251">
        <v>1</v>
      </c>
      <c r="K11" s="251"/>
      <c r="L11" s="251"/>
      <c r="M11" s="251"/>
      <c r="N11" s="251"/>
      <c r="O11" s="251"/>
      <c r="P11" s="251"/>
      <c r="Q11" s="251"/>
      <c r="R11" s="251"/>
      <c r="S11" s="251"/>
      <c r="T11" s="252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2"/>
      <c r="AG11" s="228">
        <f t="shared" si="1"/>
        <v>21</v>
      </c>
      <c r="AH11" s="261">
        <f t="shared" si="2"/>
        <v>21</v>
      </c>
      <c r="AI11" s="256"/>
      <c r="AJ11" s="256">
        <v>3.5000000000000003E-2</v>
      </c>
      <c r="AK11" s="256"/>
      <c r="AL11" s="330">
        <f>B137</f>
        <v>1107.6923076923076</v>
      </c>
      <c r="AM11" s="226">
        <f t="shared" si="3"/>
        <v>0</v>
      </c>
      <c r="AN11" s="227">
        <f t="shared" si="0"/>
        <v>814.15384615384619</v>
      </c>
      <c r="AO11" s="248">
        <f t="shared" si="4"/>
        <v>0</v>
      </c>
      <c r="AP11" s="250">
        <f t="shared" si="5"/>
        <v>0.7350000000000001</v>
      </c>
      <c r="AQ11" s="341"/>
      <c r="AR11" s="341"/>
      <c r="AS11" s="250">
        <f t="shared" si="6"/>
        <v>1</v>
      </c>
      <c r="AT11" s="250">
        <f t="shared" si="7"/>
        <v>0</v>
      </c>
    </row>
    <row r="12" spans="1:50" s="250" customFormat="1" ht="12.75" x14ac:dyDescent="0.2">
      <c r="A12" s="247" t="s">
        <v>226</v>
      </c>
      <c r="B12" s="88" t="s">
        <v>268</v>
      </c>
      <c r="C12" s="133"/>
      <c r="D12" s="251"/>
      <c r="E12" s="251"/>
      <c r="F12" s="251"/>
      <c r="G12" s="251"/>
      <c r="H12" s="252"/>
      <c r="I12" s="251"/>
      <c r="J12" s="251">
        <v>1</v>
      </c>
      <c r="K12" s="251"/>
      <c r="L12" s="251"/>
      <c r="M12" s="251"/>
      <c r="N12" s="251"/>
      <c r="O12" s="251"/>
      <c r="P12" s="251"/>
      <c r="Q12" s="251"/>
      <c r="R12" s="251"/>
      <c r="S12" s="251"/>
      <c r="T12" s="252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2"/>
      <c r="AG12" s="228">
        <f t="shared" si="1"/>
        <v>21</v>
      </c>
      <c r="AH12" s="261">
        <f t="shared" si="2"/>
        <v>21</v>
      </c>
      <c r="AI12" s="256"/>
      <c r="AJ12" s="256">
        <v>2.5000000000000001E-2</v>
      </c>
      <c r="AK12" s="256"/>
      <c r="AL12" s="329">
        <f>B133</f>
        <v>764</v>
      </c>
      <c r="AM12" s="226">
        <f t="shared" si="3"/>
        <v>0</v>
      </c>
      <c r="AN12" s="227">
        <f t="shared" si="0"/>
        <v>401.1</v>
      </c>
      <c r="AO12" s="248">
        <f t="shared" si="4"/>
        <v>0</v>
      </c>
      <c r="AP12" s="250">
        <f t="shared" si="5"/>
        <v>0.52500000000000002</v>
      </c>
      <c r="AQ12" s="341"/>
      <c r="AR12" s="341"/>
      <c r="AS12" s="250">
        <f t="shared" si="6"/>
        <v>1</v>
      </c>
      <c r="AT12" s="250">
        <f t="shared" si="7"/>
        <v>0</v>
      </c>
    </row>
    <row r="13" spans="1:50" s="250" customFormat="1" ht="12.75" x14ac:dyDescent="0.2">
      <c r="A13" s="247" t="s">
        <v>227</v>
      </c>
      <c r="B13" s="88" t="s">
        <v>267</v>
      </c>
      <c r="C13" s="133"/>
      <c r="D13" s="251"/>
      <c r="E13" s="251"/>
      <c r="F13" s="251"/>
      <c r="G13" s="251"/>
      <c r="H13" s="252"/>
      <c r="I13" s="251"/>
      <c r="J13" s="251"/>
      <c r="K13" s="251">
        <v>1</v>
      </c>
      <c r="L13" s="251"/>
      <c r="M13" s="251"/>
      <c r="N13" s="251"/>
      <c r="O13" s="251"/>
      <c r="P13" s="251"/>
      <c r="Q13" s="251"/>
      <c r="R13" s="251"/>
      <c r="S13" s="251"/>
      <c r="T13" s="252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2"/>
      <c r="AG13" s="228">
        <f t="shared" si="1"/>
        <v>21</v>
      </c>
      <c r="AH13" s="261">
        <f t="shared" si="2"/>
        <v>21</v>
      </c>
      <c r="AI13" s="256"/>
      <c r="AJ13" s="256">
        <v>0.01</v>
      </c>
      <c r="AK13" s="256"/>
      <c r="AL13" s="329">
        <f>B130</f>
        <v>764</v>
      </c>
      <c r="AM13" s="226">
        <f t="shared" si="3"/>
        <v>0</v>
      </c>
      <c r="AN13" s="227">
        <f t="shared" si="0"/>
        <v>160.44</v>
      </c>
      <c r="AO13" s="248">
        <f t="shared" si="4"/>
        <v>0</v>
      </c>
      <c r="AP13" s="250">
        <f t="shared" si="5"/>
        <v>0.21</v>
      </c>
      <c r="AQ13" s="341"/>
      <c r="AR13" s="341"/>
      <c r="AS13" s="250">
        <f t="shared" si="6"/>
        <v>1</v>
      </c>
      <c r="AT13" s="250">
        <f t="shared" si="7"/>
        <v>0</v>
      </c>
    </row>
    <row r="14" spans="1:50" s="250" customFormat="1" ht="12.75" x14ac:dyDescent="0.2">
      <c r="A14" s="247" t="s">
        <v>227</v>
      </c>
      <c r="B14" s="88" t="s">
        <v>269</v>
      </c>
      <c r="C14" s="133"/>
      <c r="D14" s="251"/>
      <c r="E14" s="251"/>
      <c r="F14" s="251"/>
      <c r="G14" s="251"/>
      <c r="H14" s="252"/>
      <c r="I14" s="251"/>
      <c r="J14" s="251"/>
      <c r="K14" s="251">
        <v>1</v>
      </c>
      <c r="L14" s="251"/>
      <c r="M14" s="251"/>
      <c r="N14" s="251"/>
      <c r="O14" s="251"/>
      <c r="P14" s="251"/>
      <c r="Q14" s="251"/>
      <c r="R14" s="251"/>
      <c r="S14" s="251"/>
      <c r="T14" s="252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2"/>
      <c r="AG14" s="228">
        <f t="shared" si="1"/>
        <v>21</v>
      </c>
      <c r="AH14" s="261">
        <f t="shared" si="2"/>
        <v>21</v>
      </c>
      <c r="AI14" s="256"/>
      <c r="AJ14" s="256">
        <v>0.12</v>
      </c>
      <c r="AK14" s="256"/>
      <c r="AL14" s="329">
        <f>B138</f>
        <v>600</v>
      </c>
      <c r="AM14" s="226">
        <f t="shared" si="3"/>
        <v>0</v>
      </c>
      <c r="AN14" s="227">
        <f t="shared" si="0"/>
        <v>1512</v>
      </c>
      <c r="AO14" s="248">
        <f t="shared" si="4"/>
        <v>0</v>
      </c>
      <c r="AP14" s="250">
        <f t="shared" si="5"/>
        <v>2.52</v>
      </c>
      <c r="AQ14" s="341"/>
      <c r="AR14" s="341"/>
      <c r="AS14" s="250">
        <f t="shared" si="6"/>
        <v>1</v>
      </c>
      <c r="AT14" s="250">
        <f t="shared" si="7"/>
        <v>0</v>
      </c>
    </row>
    <row r="15" spans="1:50" s="250" customFormat="1" ht="12.75" x14ac:dyDescent="0.2">
      <c r="A15" s="247" t="s">
        <v>227</v>
      </c>
      <c r="B15" s="88" t="s">
        <v>268</v>
      </c>
      <c r="C15" s="133"/>
      <c r="D15" s="251"/>
      <c r="E15" s="251"/>
      <c r="F15" s="251"/>
      <c r="G15" s="251"/>
      <c r="H15" s="252"/>
      <c r="I15" s="251"/>
      <c r="J15" s="251"/>
      <c r="K15" s="251">
        <v>1</v>
      </c>
      <c r="L15" s="251"/>
      <c r="M15" s="251"/>
      <c r="N15" s="251"/>
      <c r="O15" s="251"/>
      <c r="P15" s="251"/>
      <c r="Q15" s="251"/>
      <c r="R15" s="251"/>
      <c r="S15" s="251"/>
      <c r="T15" s="252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2"/>
      <c r="AG15" s="228">
        <f t="shared" si="1"/>
        <v>21</v>
      </c>
      <c r="AH15" s="261">
        <f t="shared" si="2"/>
        <v>21</v>
      </c>
      <c r="AI15" s="256"/>
      <c r="AJ15" s="256">
        <v>2.5000000000000001E-2</v>
      </c>
      <c r="AK15" s="256"/>
      <c r="AL15" s="329">
        <f>B133</f>
        <v>764</v>
      </c>
      <c r="AM15" s="226">
        <f t="shared" si="3"/>
        <v>0</v>
      </c>
      <c r="AN15" s="227">
        <f t="shared" si="0"/>
        <v>401.1</v>
      </c>
      <c r="AO15" s="248">
        <f t="shared" si="4"/>
        <v>0</v>
      </c>
      <c r="AP15" s="250">
        <f t="shared" si="5"/>
        <v>0.52500000000000002</v>
      </c>
      <c r="AQ15" s="341"/>
      <c r="AR15" s="341"/>
      <c r="AS15" s="250">
        <f t="shared" si="6"/>
        <v>1</v>
      </c>
      <c r="AT15" s="250">
        <f t="shared" si="7"/>
        <v>0</v>
      </c>
    </row>
    <row r="16" spans="1:50" s="250" customFormat="1" ht="12.75" x14ac:dyDescent="0.2">
      <c r="A16" s="247" t="s">
        <v>228</v>
      </c>
      <c r="B16" s="88" t="s">
        <v>267</v>
      </c>
      <c r="C16" s="133"/>
      <c r="D16" s="251"/>
      <c r="E16" s="251"/>
      <c r="F16" s="251"/>
      <c r="G16" s="251"/>
      <c r="H16" s="252"/>
      <c r="I16" s="251"/>
      <c r="J16" s="251"/>
      <c r="K16" s="251">
        <v>1</v>
      </c>
      <c r="L16" s="251"/>
      <c r="M16" s="251"/>
      <c r="N16" s="251"/>
      <c r="O16" s="251"/>
      <c r="P16" s="251"/>
      <c r="Q16" s="251"/>
      <c r="R16" s="251"/>
      <c r="S16" s="251"/>
      <c r="T16" s="252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2"/>
      <c r="AG16" s="228">
        <f t="shared" si="1"/>
        <v>21</v>
      </c>
      <c r="AH16" s="261">
        <f t="shared" si="2"/>
        <v>21</v>
      </c>
      <c r="AI16" s="256"/>
      <c r="AJ16" s="256">
        <v>0.01</v>
      </c>
      <c r="AK16" s="256"/>
      <c r="AL16" s="329">
        <f>B130</f>
        <v>764</v>
      </c>
      <c r="AM16" s="226">
        <f t="shared" si="3"/>
        <v>0</v>
      </c>
      <c r="AN16" s="227">
        <f t="shared" si="0"/>
        <v>160.44</v>
      </c>
      <c r="AO16" s="248">
        <f t="shared" si="4"/>
        <v>0</v>
      </c>
      <c r="AP16" s="250">
        <f t="shared" si="5"/>
        <v>0.21</v>
      </c>
      <c r="AQ16" s="341"/>
      <c r="AR16" s="341"/>
      <c r="AS16" s="250">
        <f t="shared" si="6"/>
        <v>1</v>
      </c>
      <c r="AT16" s="250">
        <f t="shared" si="7"/>
        <v>0</v>
      </c>
    </row>
    <row r="17" spans="1:50" s="250" customFormat="1" ht="12.75" x14ac:dyDescent="0.2">
      <c r="A17" s="247" t="s">
        <v>228</v>
      </c>
      <c r="B17" s="88" t="s">
        <v>270</v>
      </c>
      <c r="C17" s="133"/>
      <c r="D17" s="251"/>
      <c r="E17" s="251"/>
      <c r="F17" s="251"/>
      <c r="G17" s="251"/>
      <c r="H17" s="252"/>
      <c r="I17" s="251"/>
      <c r="J17" s="251"/>
      <c r="K17" s="251">
        <v>1</v>
      </c>
      <c r="L17" s="251"/>
      <c r="M17" s="251"/>
      <c r="N17" s="251"/>
      <c r="O17" s="251"/>
      <c r="P17" s="251"/>
      <c r="Q17" s="251"/>
      <c r="R17" s="251"/>
      <c r="S17" s="251"/>
      <c r="T17" s="252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2"/>
      <c r="AG17" s="228">
        <f t="shared" si="1"/>
        <v>21</v>
      </c>
      <c r="AH17" s="261">
        <f t="shared" si="2"/>
        <v>21</v>
      </c>
      <c r="AI17" s="256"/>
      <c r="AJ17" s="256">
        <v>0.04</v>
      </c>
      <c r="AK17" s="256"/>
      <c r="AL17" s="329">
        <f>B142</f>
        <v>576</v>
      </c>
      <c r="AM17" s="226">
        <f t="shared" si="3"/>
        <v>0</v>
      </c>
      <c r="AN17" s="227">
        <f t="shared" si="0"/>
        <v>483.84</v>
      </c>
      <c r="AO17" s="248">
        <f t="shared" si="4"/>
        <v>0</v>
      </c>
      <c r="AP17" s="250">
        <f t="shared" si="5"/>
        <v>0.84</v>
      </c>
      <c r="AQ17" s="341"/>
      <c r="AR17" s="341"/>
      <c r="AS17" s="250">
        <f t="shared" si="6"/>
        <v>1</v>
      </c>
      <c r="AT17" s="250">
        <f t="shared" si="7"/>
        <v>0</v>
      </c>
    </row>
    <row r="18" spans="1:50" s="250" customFormat="1" ht="12.75" x14ac:dyDescent="0.2">
      <c r="A18" s="247" t="s">
        <v>228</v>
      </c>
      <c r="B18" s="88" t="s">
        <v>268</v>
      </c>
      <c r="C18" s="133"/>
      <c r="D18" s="251"/>
      <c r="E18" s="251"/>
      <c r="F18" s="251"/>
      <c r="G18" s="251"/>
      <c r="H18" s="252"/>
      <c r="I18" s="251"/>
      <c r="J18" s="251"/>
      <c r="K18" s="251">
        <v>1</v>
      </c>
      <c r="L18" s="251"/>
      <c r="M18" s="251"/>
      <c r="N18" s="251"/>
      <c r="O18" s="251"/>
      <c r="P18" s="251"/>
      <c r="Q18" s="251"/>
      <c r="R18" s="251"/>
      <c r="S18" s="251"/>
      <c r="T18" s="252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2"/>
      <c r="AG18" s="228">
        <f t="shared" si="1"/>
        <v>21</v>
      </c>
      <c r="AH18" s="261">
        <f t="shared" si="2"/>
        <v>21</v>
      </c>
      <c r="AI18" s="256"/>
      <c r="AJ18" s="256">
        <v>2.5000000000000001E-2</v>
      </c>
      <c r="AK18" s="256"/>
      <c r="AL18" s="329">
        <f>B133</f>
        <v>764</v>
      </c>
      <c r="AM18" s="226">
        <f t="shared" si="3"/>
        <v>0</v>
      </c>
      <c r="AN18" s="227">
        <f t="shared" si="0"/>
        <v>401.1</v>
      </c>
      <c r="AO18" s="248">
        <f t="shared" si="4"/>
        <v>0</v>
      </c>
      <c r="AP18" s="250">
        <f t="shared" si="5"/>
        <v>0.52500000000000002</v>
      </c>
      <c r="AQ18" s="341"/>
      <c r="AR18" s="341"/>
      <c r="AS18" s="250">
        <f t="shared" si="6"/>
        <v>1</v>
      </c>
      <c r="AT18" s="250">
        <f t="shared" si="7"/>
        <v>0</v>
      </c>
    </row>
    <row r="19" spans="1:50" s="250" customFormat="1" ht="12.75" x14ac:dyDescent="0.2">
      <c r="A19" s="247" t="s">
        <v>229</v>
      </c>
      <c r="B19" s="88" t="s">
        <v>267</v>
      </c>
      <c r="C19" s="133"/>
      <c r="D19" s="251"/>
      <c r="E19" s="251"/>
      <c r="F19" s="251"/>
      <c r="G19" s="251"/>
      <c r="H19" s="252"/>
      <c r="I19" s="251"/>
      <c r="J19" s="251"/>
      <c r="K19" s="251"/>
      <c r="L19" s="251">
        <v>1</v>
      </c>
      <c r="M19" s="251"/>
      <c r="N19" s="251"/>
      <c r="O19" s="251"/>
      <c r="P19" s="251"/>
      <c r="Q19" s="251"/>
      <c r="R19" s="251"/>
      <c r="S19" s="251"/>
      <c r="T19" s="252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2"/>
      <c r="AG19" s="228">
        <f t="shared" si="1"/>
        <v>21</v>
      </c>
      <c r="AH19" s="261">
        <f t="shared" si="2"/>
        <v>21</v>
      </c>
      <c r="AI19" s="256"/>
      <c r="AJ19" s="256">
        <v>0.01</v>
      </c>
      <c r="AK19" s="256"/>
      <c r="AL19" s="329">
        <f>B130</f>
        <v>764</v>
      </c>
      <c r="AM19" s="226">
        <f t="shared" si="3"/>
        <v>0</v>
      </c>
      <c r="AN19" s="227">
        <f t="shared" si="0"/>
        <v>160.44</v>
      </c>
      <c r="AO19" s="248">
        <f t="shared" si="4"/>
        <v>0</v>
      </c>
      <c r="AP19" s="250">
        <f t="shared" si="5"/>
        <v>0.21</v>
      </c>
      <c r="AQ19" s="341"/>
      <c r="AR19" s="341"/>
      <c r="AS19" s="250">
        <f t="shared" si="6"/>
        <v>1</v>
      </c>
      <c r="AT19" s="250">
        <f t="shared" si="7"/>
        <v>0</v>
      </c>
    </row>
    <row r="20" spans="1:50" s="250" customFormat="1" ht="12.75" x14ac:dyDescent="0.2">
      <c r="A20" s="247" t="s">
        <v>229</v>
      </c>
      <c r="B20" s="88" t="s">
        <v>271</v>
      </c>
      <c r="C20" s="133"/>
      <c r="D20" s="251"/>
      <c r="E20" s="251"/>
      <c r="F20" s="251"/>
      <c r="G20" s="251"/>
      <c r="H20" s="252"/>
      <c r="I20" s="251"/>
      <c r="J20" s="251"/>
      <c r="K20" s="251"/>
      <c r="L20" s="251">
        <v>1</v>
      </c>
      <c r="M20" s="251"/>
      <c r="N20" s="251"/>
      <c r="O20" s="251"/>
      <c r="P20" s="251"/>
      <c r="Q20" s="251"/>
      <c r="R20" s="251"/>
      <c r="S20" s="251"/>
      <c r="T20" s="252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2"/>
      <c r="AG20" s="228">
        <f t="shared" si="1"/>
        <v>21</v>
      </c>
      <c r="AH20" s="261">
        <f t="shared" si="2"/>
        <v>21</v>
      </c>
      <c r="AI20" s="256"/>
      <c r="AJ20" s="256">
        <v>0.1</v>
      </c>
      <c r="AK20" s="256"/>
      <c r="AL20" s="329">
        <f>B141</f>
        <v>704</v>
      </c>
      <c r="AM20" s="226">
        <f t="shared" si="3"/>
        <v>0</v>
      </c>
      <c r="AN20" s="227">
        <f t="shared" si="0"/>
        <v>1478.4</v>
      </c>
      <c r="AO20" s="248">
        <f t="shared" si="4"/>
        <v>0</v>
      </c>
      <c r="AP20" s="250">
        <f t="shared" si="5"/>
        <v>2.1</v>
      </c>
      <c r="AQ20" s="341"/>
      <c r="AR20" s="341"/>
      <c r="AS20" s="250">
        <f t="shared" si="6"/>
        <v>1</v>
      </c>
      <c r="AT20" s="250">
        <f t="shared" si="7"/>
        <v>0</v>
      </c>
    </row>
    <row r="21" spans="1:50" s="250" customFormat="1" ht="12.75" x14ac:dyDescent="0.2">
      <c r="A21" s="247" t="s">
        <v>229</v>
      </c>
      <c r="B21" s="88" t="s">
        <v>268</v>
      </c>
      <c r="C21" s="133"/>
      <c r="D21" s="251"/>
      <c r="E21" s="251"/>
      <c r="F21" s="251"/>
      <c r="G21" s="251"/>
      <c r="H21" s="252"/>
      <c r="I21" s="251"/>
      <c r="J21" s="251"/>
      <c r="K21" s="251"/>
      <c r="L21" s="251">
        <v>1</v>
      </c>
      <c r="M21" s="251"/>
      <c r="N21" s="251"/>
      <c r="O21" s="251"/>
      <c r="P21" s="251"/>
      <c r="Q21" s="251"/>
      <c r="R21" s="251"/>
      <c r="S21" s="251"/>
      <c r="T21" s="252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2"/>
      <c r="AG21" s="228">
        <f t="shared" si="1"/>
        <v>21</v>
      </c>
      <c r="AH21" s="261">
        <f t="shared" si="2"/>
        <v>21</v>
      </c>
      <c r="AI21" s="256"/>
      <c r="AJ21" s="256">
        <v>2.5000000000000001E-2</v>
      </c>
      <c r="AK21" s="256"/>
      <c r="AL21" s="329">
        <f>B133</f>
        <v>764</v>
      </c>
      <c r="AM21" s="226">
        <f t="shared" si="3"/>
        <v>0</v>
      </c>
      <c r="AN21" s="227">
        <f t="shared" si="0"/>
        <v>401.1</v>
      </c>
      <c r="AO21" s="248">
        <f t="shared" si="4"/>
        <v>0</v>
      </c>
      <c r="AP21" s="250">
        <f t="shared" si="5"/>
        <v>0.52500000000000002</v>
      </c>
      <c r="AQ21" s="341"/>
      <c r="AR21" s="342" t="s">
        <v>286</v>
      </c>
      <c r="AS21" s="250">
        <f t="shared" si="6"/>
        <v>1</v>
      </c>
      <c r="AT21" s="250">
        <f t="shared" si="7"/>
        <v>0</v>
      </c>
    </row>
    <row r="22" spans="1:50" s="250" customFormat="1" x14ac:dyDescent="0.2">
      <c r="A22" s="144" t="s">
        <v>224</v>
      </c>
      <c r="B22" s="88"/>
      <c r="C22" s="133"/>
      <c r="D22" s="251"/>
      <c r="E22" s="251"/>
      <c r="F22" s="251"/>
      <c r="G22" s="251"/>
      <c r="H22" s="252"/>
      <c r="I22" s="274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6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6"/>
      <c r="AG22" s="228">
        <f t="shared" si="1"/>
        <v>0</v>
      </c>
      <c r="AH22" s="261">
        <f t="shared" si="2"/>
        <v>0</v>
      </c>
      <c r="AI22" s="328"/>
      <c r="AJ22" s="328"/>
      <c r="AK22" s="328"/>
      <c r="AL22" s="331"/>
      <c r="AM22" s="226">
        <f t="shared" si="3"/>
        <v>0</v>
      </c>
      <c r="AN22" s="227">
        <f t="shared" si="0"/>
        <v>0</v>
      </c>
      <c r="AO22" s="248">
        <f t="shared" si="4"/>
        <v>0</v>
      </c>
      <c r="AP22" s="250">
        <f t="shared" si="5"/>
        <v>0</v>
      </c>
      <c r="AQ22" s="343">
        <f>SUM(AO7:AO21)</f>
        <v>0</v>
      </c>
      <c r="AR22" s="343">
        <f>SUM(AP7:AP21)</f>
        <v>12.285000000000002</v>
      </c>
      <c r="AS22" s="250">
        <f t="shared" si="6"/>
        <v>0</v>
      </c>
      <c r="AT22" s="250">
        <f t="shared" si="7"/>
        <v>0</v>
      </c>
      <c r="AW22" s="361">
        <f>SUM(AN23:AN61)</f>
        <v>333161.2264615384</v>
      </c>
      <c r="AX22" s="361">
        <f>SUM(AN62:AN65)</f>
        <v>6350.4</v>
      </c>
    </row>
    <row r="23" spans="1:50" s="250" customFormat="1" ht="12.75" x14ac:dyDescent="0.2">
      <c r="A23" s="247" t="s">
        <v>219</v>
      </c>
      <c r="B23" s="88" t="s">
        <v>267</v>
      </c>
      <c r="C23" s="133"/>
      <c r="D23" s="251"/>
      <c r="E23" s="251"/>
      <c r="F23" s="251"/>
      <c r="G23" s="251"/>
      <c r="H23" s="252"/>
      <c r="I23" s="251">
        <v>1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2"/>
      <c r="AG23" s="228">
        <f t="shared" si="1"/>
        <v>21</v>
      </c>
      <c r="AH23" s="261">
        <f t="shared" si="2"/>
        <v>21</v>
      </c>
      <c r="AI23" s="256"/>
      <c r="AJ23" s="256">
        <v>0.09</v>
      </c>
      <c r="AK23" s="256"/>
      <c r="AL23" s="329">
        <f>B130</f>
        <v>764</v>
      </c>
      <c r="AM23" s="226">
        <f t="shared" si="3"/>
        <v>0</v>
      </c>
      <c r="AN23" s="227">
        <f t="shared" si="0"/>
        <v>1443.96</v>
      </c>
      <c r="AO23" s="248">
        <f t="shared" si="4"/>
        <v>0</v>
      </c>
      <c r="AP23" s="250">
        <f t="shared" si="5"/>
        <v>1.89</v>
      </c>
      <c r="AQ23" s="343"/>
      <c r="AR23" s="343">
        <f>AR22/(AP127/100)</f>
        <v>1.8344883815735835</v>
      </c>
      <c r="AS23" s="250">
        <f t="shared" si="6"/>
        <v>1</v>
      </c>
      <c r="AT23" s="250">
        <f t="shared" si="7"/>
        <v>0</v>
      </c>
    </row>
    <row r="24" spans="1:50" s="250" customFormat="1" ht="12.75" x14ac:dyDescent="0.2">
      <c r="A24" s="247" t="s">
        <v>219</v>
      </c>
      <c r="B24" s="88" t="s">
        <v>244</v>
      </c>
      <c r="C24" s="133"/>
      <c r="D24" s="251"/>
      <c r="E24" s="251"/>
      <c r="F24" s="251"/>
      <c r="G24" s="251"/>
      <c r="H24" s="252"/>
      <c r="I24" s="251">
        <v>1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2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2"/>
      <c r="AG24" s="228">
        <f t="shared" si="1"/>
        <v>21</v>
      </c>
      <c r="AH24" s="261">
        <f t="shared" si="2"/>
        <v>21</v>
      </c>
      <c r="AI24" s="256"/>
      <c r="AJ24" s="256">
        <v>0.85</v>
      </c>
      <c r="AK24" s="256"/>
      <c r="AL24" s="329">
        <f>B131</f>
        <v>660</v>
      </c>
      <c r="AM24" s="226">
        <f t="shared" si="3"/>
        <v>0</v>
      </c>
      <c r="AN24" s="227">
        <f t="shared" si="0"/>
        <v>11780.999999999998</v>
      </c>
      <c r="AO24" s="248">
        <f t="shared" si="4"/>
        <v>0</v>
      </c>
      <c r="AP24" s="250">
        <f t="shared" si="5"/>
        <v>17.849999999999998</v>
      </c>
      <c r="AQ24" s="341"/>
      <c r="AR24" s="341"/>
      <c r="AS24" s="250">
        <f t="shared" si="6"/>
        <v>1</v>
      </c>
      <c r="AT24" s="250">
        <f t="shared" si="7"/>
        <v>0</v>
      </c>
    </row>
    <row r="25" spans="1:50" s="250" customFormat="1" ht="12.75" x14ac:dyDescent="0.2">
      <c r="A25" s="247" t="s">
        <v>219</v>
      </c>
      <c r="B25" s="88" t="s">
        <v>272</v>
      </c>
      <c r="C25" s="133"/>
      <c r="D25" s="251"/>
      <c r="E25" s="251"/>
      <c r="F25" s="251"/>
      <c r="G25" s="251"/>
      <c r="H25" s="252"/>
      <c r="I25" s="251">
        <v>1</v>
      </c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2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2"/>
      <c r="AG25" s="228">
        <f t="shared" si="1"/>
        <v>21</v>
      </c>
      <c r="AH25" s="261">
        <f t="shared" si="2"/>
        <v>21</v>
      </c>
      <c r="AI25" s="256"/>
      <c r="AJ25" s="256">
        <v>0.7</v>
      </c>
      <c r="AK25" s="256"/>
      <c r="AL25" s="330">
        <f>B132</f>
        <v>792</v>
      </c>
      <c r="AM25" s="226">
        <f t="shared" si="3"/>
        <v>0</v>
      </c>
      <c r="AN25" s="227">
        <f t="shared" si="0"/>
        <v>11642.4</v>
      </c>
      <c r="AO25" s="248">
        <f t="shared" si="4"/>
        <v>0</v>
      </c>
      <c r="AP25" s="250">
        <f t="shared" si="5"/>
        <v>14.7</v>
      </c>
      <c r="AQ25" s="341"/>
      <c r="AR25" s="341"/>
      <c r="AS25" s="250">
        <f t="shared" si="6"/>
        <v>1</v>
      </c>
      <c r="AT25" s="250">
        <f t="shared" si="7"/>
        <v>0</v>
      </c>
    </row>
    <row r="26" spans="1:50" s="250" customFormat="1" ht="12.75" x14ac:dyDescent="0.2">
      <c r="A26" s="247" t="s">
        <v>219</v>
      </c>
      <c r="B26" s="88" t="s">
        <v>268</v>
      </c>
      <c r="C26" s="133"/>
      <c r="D26" s="251"/>
      <c r="E26" s="251"/>
      <c r="F26" s="251"/>
      <c r="G26" s="251"/>
      <c r="H26" s="252"/>
      <c r="I26" s="251">
        <v>1</v>
      </c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2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2"/>
      <c r="AG26" s="228">
        <f t="shared" si="1"/>
        <v>21</v>
      </c>
      <c r="AH26" s="261">
        <f t="shared" si="2"/>
        <v>21</v>
      </c>
      <c r="AI26" s="256"/>
      <c r="AJ26" s="256">
        <v>0.15</v>
      </c>
      <c r="AK26" s="256"/>
      <c r="AL26" s="329">
        <f>B133</f>
        <v>764</v>
      </c>
      <c r="AM26" s="226">
        <f t="shared" si="3"/>
        <v>0</v>
      </c>
      <c r="AN26" s="227">
        <f t="shared" si="0"/>
        <v>2406.6</v>
      </c>
      <c r="AO26" s="248">
        <f t="shared" si="4"/>
        <v>0</v>
      </c>
      <c r="AP26" s="250">
        <f t="shared" si="5"/>
        <v>3.15</v>
      </c>
      <c r="AQ26" s="341"/>
      <c r="AR26" s="342" t="s">
        <v>294</v>
      </c>
      <c r="AS26" s="250">
        <f t="shared" si="6"/>
        <v>1</v>
      </c>
      <c r="AT26" s="250">
        <f t="shared" si="7"/>
        <v>0</v>
      </c>
    </row>
    <row r="27" spans="1:50" s="250" customFormat="1" ht="12.75" x14ac:dyDescent="0.2">
      <c r="A27" s="247" t="s">
        <v>219</v>
      </c>
      <c r="B27" s="88" t="s">
        <v>273</v>
      </c>
      <c r="C27" s="133"/>
      <c r="D27" s="251"/>
      <c r="E27" s="251"/>
      <c r="F27" s="251"/>
      <c r="G27" s="251"/>
      <c r="H27" s="252"/>
      <c r="I27" s="251">
        <v>1</v>
      </c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2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2"/>
      <c r="AG27" s="228">
        <f t="shared" si="1"/>
        <v>21</v>
      </c>
      <c r="AH27" s="261">
        <f t="shared" si="2"/>
        <v>21</v>
      </c>
      <c r="AI27" s="256"/>
      <c r="AJ27" s="256">
        <v>7.0000000000000007E-2</v>
      </c>
      <c r="AK27" s="256"/>
      <c r="AL27" s="330">
        <f>B134</f>
        <v>916.8</v>
      </c>
      <c r="AM27" s="226">
        <f t="shared" si="3"/>
        <v>0</v>
      </c>
      <c r="AN27" s="227">
        <f t="shared" si="0"/>
        <v>1347.6960000000001</v>
      </c>
      <c r="AO27" s="248">
        <f t="shared" si="4"/>
        <v>0</v>
      </c>
      <c r="AP27" s="250">
        <f t="shared" si="5"/>
        <v>1.4700000000000002</v>
      </c>
      <c r="AQ27" s="341"/>
      <c r="AR27" s="347">
        <v>0.15</v>
      </c>
      <c r="AS27" s="250">
        <f t="shared" si="6"/>
        <v>1</v>
      </c>
      <c r="AT27" s="250">
        <f t="shared" si="7"/>
        <v>0</v>
      </c>
    </row>
    <row r="28" spans="1:50" s="250" customFormat="1" ht="12.75" x14ac:dyDescent="0.2">
      <c r="A28" s="247" t="s">
        <v>220</v>
      </c>
      <c r="B28" s="88" t="s">
        <v>267</v>
      </c>
      <c r="C28" s="133"/>
      <c r="D28" s="251"/>
      <c r="E28" s="251"/>
      <c r="F28" s="251"/>
      <c r="G28" s="251"/>
      <c r="H28" s="252"/>
      <c r="I28" s="251"/>
      <c r="J28" s="251">
        <v>1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2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2"/>
      <c r="AG28" s="228">
        <f t="shared" si="1"/>
        <v>21</v>
      </c>
      <c r="AH28" s="261">
        <f t="shared" si="2"/>
        <v>21</v>
      </c>
      <c r="AI28" s="256"/>
      <c r="AJ28" s="256">
        <v>0.09</v>
      </c>
      <c r="AK28" s="256"/>
      <c r="AL28" s="329">
        <f>B130</f>
        <v>764</v>
      </c>
      <c r="AM28" s="226">
        <f t="shared" si="3"/>
        <v>0</v>
      </c>
      <c r="AN28" s="227">
        <f t="shared" si="0"/>
        <v>1443.96</v>
      </c>
      <c r="AO28" s="248">
        <f t="shared" si="4"/>
        <v>0</v>
      </c>
      <c r="AP28" s="250">
        <f t="shared" si="5"/>
        <v>1.89</v>
      </c>
      <c r="AQ28" s="341"/>
      <c r="AR28" s="343">
        <f>AR65*AR27</f>
        <v>73.615500000000011</v>
      </c>
      <c r="AS28" s="250">
        <f t="shared" si="6"/>
        <v>1</v>
      </c>
      <c r="AT28" s="250">
        <f t="shared" si="7"/>
        <v>0</v>
      </c>
    </row>
    <row r="29" spans="1:50" s="250" customFormat="1" ht="12.75" x14ac:dyDescent="0.2">
      <c r="A29" s="247" t="s">
        <v>220</v>
      </c>
      <c r="B29" s="88" t="s">
        <v>245</v>
      </c>
      <c r="C29" s="133"/>
      <c r="D29" s="251"/>
      <c r="E29" s="251"/>
      <c r="F29" s="251"/>
      <c r="G29" s="251"/>
      <c r="H29" s="252"/>
      <c r="I29" s="251"/>
      <c r="J29" s="251">
        <v>1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2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2"/>
      <c r="AG29" s="228">
        <f t="shared" si="1"/>
        <v>21</v>
      </c>
      <c r="AH29" s="261">
        <f t="shared" si="2"/>
        <v>21</v>
      </c>
      <c r="AI29" s="256"/>
      <c r="AJ29" s="256">
        <v>0.6</v>
      </c>
      <c r="AK29" s="256"/>
      <c r="AL29" s="329">
        <f>B135</f>
        <v>768</v>
      </c>
      <c r="AM29" s="226">
        <f t="shared" si="3"/>
        <v>0</v>
      </c>
      <c r="AN29" s="227">
        <f t="shared" si="0"/>
        <v>9676.7999999999993</v>
      </c>
      <c r="AO29" s="248">
        <f t="shared" si="4"/>
        <v>0</v>
      </c>
      <c r="AP29" s="250">
        <f t="shared" si="5"/>
        <v>12.6</v>
      </c>
      <c r="AQ29" s="341"/>
      <c r="AR29" s="341"/>
      <c r="AS29" s="250">
        <f t="shared" si="6"/>
        <v>1</v>
      </c>
      <c r="AT29" s="250">
        <f t="shared" si="7"/>
        <v>0</v>
      </c>
    </row>
    <row r="30" spans="1:50" s="250" customFormat="1" ht="12.75" x14ac:dyDescent="0.2">
      <c r="A30" s="247" t="s">
        <v>220</v>
      </c>
      <c r="B30" s="88" t="s">
        <v>274</v>
      </c>
      <c r="C30" s="133"/>
      <c r="D30" s="251"/>
      <c r="E30" s="251"/>
      <c r="F30" s="251"/>
      <c r="G30" s="251"/>
      <c r="H30" s="252"/>
      <c r="I30" s="251"/>
      <c r="J30" s="251">
        <v>1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2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2"/>
      <c r="AG30" s="228">
        <f t="shared" si="1"/>
        <v>21</v>
      </c>
      <c r="AH30" s="261">
        <f t="shared" si="2"/>
        <v>21</v>
      </c>
      <c r="AI30" s="256"/>
      <c r="AJ30" s="256">
        <v>0.4</v>
      </c>
      <c r="AK30" s="256"/>
      <c r="AL30" s="330">
        <f>B136</f>
        <v>921.59999999999991</v>
      </c>
      <c r="AM30" s="226">
        <f t="shared" si="3"/>
        <v>0</v>
      </c>
      <c r="AN30" s="227">
        <f t="shared" si="0"/>
        <v>7741.44</v>
      </c>
      <c r="AO30" s="248">
        <f t="shared" si="4"/>
        <v>0</v>
      </c>
      <c r="AP30" s="250">
        <f t="shared" si="5"/>
        <v>8.4</v>
      </c>
      <c r="AQ30" s="341"/>
      <c r="AR30" s="341"/>
      <c r="AS30" s="250">
        <f t="shared" si="6"/>
        <v>1</v>
      </c>
      <c r="AT30" s="250">
        <f t="shared" si="7"/>
        <v>0</v>
      </c>
    </row>
    <row r="31" spans="1:50" s="250" customFormat="1" ht="12.75" x14ac:dyDescent="0.2">
      <c r="A31" s="247" t="s">
        <v>220</v>
      </c>
      <c r="B31" s="88" t="s">
        <v>250</v>
      </c>
      <c r="C31" s="133"/>
      <c r="D31" s="251"/>
      <c r="E31" s="251"/>
      <c r="F31" s="251"/>
      <c r="G31" s="251"/>
      <c r="H31" s="252"/>
      <c r="I31" s="251"/>
      <c r="J31" s="251">
        <v>1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2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2"/>
      <c r="AG31" s="228">
        <f t="shared" si="1"/>
        <v>21</v>
      </c>
      <c r="AH31" s="261">
        <f t="shared" si="2"/>
        <v>21</v>
      </c>
      <c r="AI31" s="256"/>
      <c r="AJ31" s="256">
        <v>0.3</v>
      </c>
      <c r="AK31" s="256"/>
      <c r="AL31" s="330">
        <f>B137</f>
        <v>1107.6923076923076</v>
      </c>
      <c r="AM31" s="226">
        <f t="shared" si="3"/>
        <v>0</v>
      </c>
      <c r="AN31" s="227">
        <f t="shared" si="0"/>
        <v>6978.4615384615381</v>
      </c>
      <c r="AO31" s="248">
        <f t="shared" si="4"/>
        <v>0</v>
      </c>
      <c r="AP31" s="250">
        <f t="shared" si="5"/>
        <v>6.3</v>
      </c>
      <c r="AQ31" s="341"/>
      <c r="AR31" s="342" t="s">
        <v>295</v>
      </c>
      <c r="AS31" s="250">
        <f t="shared" si="6"/>
        <v>1</v>
      </c>
      <c r="AT31" s="250">
        <f t="shared" si="7"/>
        <v>0</v>
      </c>
    </row>
    <row r="32" spans="1:50" s="250" customFormat="1" ht="12.75" x14ac:dyDescent="0.2">
      <c r="A32" s="247" t="s">
        <v>220</v>
      </c>
      <c r="B32" s="88" t="s">
        <v>268</v>
      </c>
      <c r="C32" s="133"/>
      <c r="D32" s="251"/>
      <c r="E32" s="251"/>
      <c r="F32" s="251"/>
      <c r="G32" s="251"/>
      <c r="H32" s="252"/>
      <c r="I32" s="251"/>
      <c r="J32" s="251">
        <v>1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2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2"/>
      <c r="AG32" s="228">
        <f t="shared" si="1"/>
        <v>21</v>
      </c>
      <c r="AH32" s="261">
        <f t="shared" si="2"/>
        <v>21</v>
      </c>
      <c r="AI32" s="256"/>
      <c r="AJ32" s="256">
        <v>0.15</v>
      </c>
      <c r="AK32" s="256"/>
      <c r="AL32" s="329">
        <f>B133</f>
        <v>764</v>
      </c>
      <c r="AM32" s="226">
        <f t="shared" si="3"/>
        <v>0</v>
      </c>
      <c r="AN32" s="227">
        <f t="shared" si="0"/>
        <v>2406.6</v>
      </c>
      <c r="AO32" s="248">
        <f t="shared" si="4"/>
        <v>0</v>
      </c>
      <c r="AP32" s="250">
        <f t="shared" si="5"/>
        <v>3.15</v>
      </c>
      <c r="AQ32" s="341"/>
      <c r="AR32" s="347">
        <v>0.11</v>
      </c>
      <c r="AS32" s="250">
        <f t="shared" si="6"/>
        <v>1</v>
      </c>
      <c r="AT32" s="250">
        <f t="shared" si="7"/>
        <v>0</v>
      </c>
    </row>
    <row r="33" spans="1:46" s="250" customFormat="1" ht="12.75" x14ac:dyDescent="0.2">
      <c r="A33" s="247" t="s">
        <v>220</v>
      </c>
      <c r="B33" s="88" t="s">
        <v>273</v>
      </c>
      <c r="C33" s="133"/>
      <c r="D33" s="251"/>
      <c r="E33" s="251"/>
      <c r="F33" s="251"/>
      <c r="G33" s="251"/>
      <c r="H33" s="252"/>
      <c r="I33" s="251"/>
      <c r="J33" s="251">
        <v>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2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2"/>
      <c r="AG33" s="228">
        <f t="shared" si="1"/>
        <v>21</v>
      </c>
      <c r="AH33" s="261">
        <f t="shared" si="2"/>
        <v>21</v>
      </c>
      <c r="AI33" s="256"/>
      <c r="AJ33" s="256">
        <v>7.0000000000000007E-2</v>
      </c>
      <c r="AK33" s="256"/>
      <c r="AL33" s="330">
        <f>B134</f>
        <v>916.8</v>
      </c>
      <c r="AM33" s="226">
        <f t="shared" si="3"/>
        <v>0</v>
      </c>
      <c r="AN33" s="227">
        <f t="shared" si="0"/>
        <v>1347.6960000000001</v>
      </c>
      <c r="AO33" s="248">
        <f t="shared" si="4"/>
        <v>0</v>
      </c>
      <c r="AP33" s="250">
        <f t="shared" si="5"/>
        <v>1.4700000000000002</v>
      </c>
      <c r="AQ33" s="341"/>
      <c r="AR33" s="343">
        <f>AR65*AR32</f>
        <v>53.984700000000011</v>
      </c>
      <c r="AS33" s="250">
        <f t="shared" si="6"/>
        <v>1</v>
      </c>
      <c r="AT33" s="250">
        <f t="shared" si="7"/>
        <v>0</v>
      </c>
    </row>
    <row r="34" spans="1:46" s="250" customFormat="1" ht="12.75" x14ac:dyDescent="0.2">
      <c r="A34" s="247" t="s">
        <v>221</v>
      </c>
      <c r="B34" s="88" t="s">
        <v>267</v>
      </c>
      <c r="C34" s="133"/>
      <c r="D34" s="251"/>
      <c r="E34" s="251"/>
      <c r="F34" s="251"/>
      <c r="G34" s="251"/>
      <c r="H34" s="252"/>
      <c r="I34" s="251"/>
      <c r="J34" s="251"/>
      <c r="K34" s="251">
        <v>1</v>
      </c>
      <c r="L34" s="251">
        <v>1</v>
      </c>
      <c r="M34" s="251">
        <v>1</v>
      </c>
      <c r="N34" s="251"/>
      <c r="O34" s="251"/>
      <c r="P34" s="251"/>
      <c r="Q34" s="251"/>
      <c r="R34" s="251"/>
      <c r="S34" s="251"/>
      <c r="T34" s="252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2"/>
      <c r="AG34" s="228">
        <f t="shared" si="1"/>
        <v>63</v>
      </c>
      <c r="AH34" s="261">
        <f t="shared" si="2"/>
        <v>63</v>
      </c>
      <c r="AI34" s="256"/>
      <c r="AJ34" s="256">
        <v>0.09</v>
      </c>
      <c r="AK34" s="256"/>
      <c r="AL34" s="329">
        <f>B130</f>
        <v>764</v>
      </c>
      <c r="AM34" s="226">
        <f t="shared" si="3"/>
        <v>0</v>
      </c>
      <c r="AN34" s="227">
        <f t="shared" si="0"/>
        <v>4331.88</v>
      </c>
      <c r="AO34" s="248">
        <f t="shared" si="4"/>
        <v>0</v>
      </c>
      <c r="AP34" s="250">
        <f t="shared" si="5"/>
        <v>5.67</v>
      </c>
      <c r="AQ34" s="341"/>
      <c r="AR34" s="341"/>
      <c r="AS34" s="250">
        <f t="shared" si="6"/>
        <v>3</v>
      </c>
      <c r="AT34" s="250">
        <f t="shared" si="7"/>
        <v>0</v>
      </c>
    </row>
    <row r="35" spans="1:46" s="250" customFormat="1" ht="12.75" x14ac:dyDescent="0.2">
      <c r="A35" s="247" t="s">
        <v>221</v>
      </c>
      <c r="B35" s="88" t="s">
        <v>269</v>
      </c>
      <c r="C35" s="133"/>
      <c r="D35" s="251"/>
      <c r="E35" s="251"/>
      <c r="F35" s="251"/>
      <c r="G35" s="251"/>
      <c r="H35" s="252"/>
      <c r="I35" s="251"/>
      <c r="J35" s="251"/>
      <c r="K35" s="251">
        <v>1</v>
      </c>
      <c r="L35" s="251">
        <v>1</v>
      </c>
      <c r="M35" s="251">
        <v>1</v>
      </c>
      <c r="N35" s="251"/>
      <c r="O35" s="251"/>
      <c r="P35" s="251"/>
      <c r="Q35" s="251"/>
      <c r="R35" s="251"/>
      <c r="S35" s="251"/>
      <c r="T35" s="252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2"/>
      <c r="AG35" s="228">
        <f t="shared" si="1"/>
        <v>63</v>
      </c>
      <c r="AH35" s="261">
        <f t="shared" si="2"/>
        <v>63</v>
      </c>
      <c r="AI35" s="256"/>
      <c r="AJ35" s="256">
        <v>1.7</v>
      </c>
      <c r="AK35" s="256"/>
      <c r="AL35" s="329">
        <f>B138</f>
        <v>600</v>
      </c>
      <c r="AM35" s="226">
        <f t="shared" si="3"/>
        <v>0</v>
      </c>
      <c r="AN35" s="227">
        <f t="shared" si="0"/>
        <v>64260</v>
      </c>
      <c r="AO35" s="248">
        <f t="shared" si="4"/>
        <v>0</v>
      </c>
      <c r="AP35" s="250">
        <f t="shared" si="5"/>
        <v>107.1</v>
      </c>
      <c r="AQ35" s="341"/>
      <c r="AR35" s="341"/>
      <c r="AS35" s="250">
        <f t="shared" si="6"/>
        <v>3</v>
      </c>
      <c r="AT35" s="250">
        <f t="shared" si="7"/>
        <v>0</v>
      </c>
    </row>
    <row r="36" spans="1:46" s="250" customFormat="1" ht="12.75" x14ac:dyDescent="0.2">
      <c r="A36" s="247" t="s">
        <v>221</v>
      </c>
      <c r="B36" s="88" t="s">
        <v>275</v>
      </c>
      <c r="C36" s="133"/>
      <c r="D36" s="251"/>
      <c r="E36" s="251"/>
      <c r="F36" s="251"/>
      <c r="G36" s="251"/>
      <c r="H36" s="252"/>
      <c r="I36" s="251"/>
      <c r="J36" s="251"/>
      <c r="K36" s="251">
        <v>1</v>
      </c>
      <c r="L36" s="251">
        <v>1</v>
      </c>
      <c r="M36" s="251">
        <v>1</v>
      </c>
      <c r="N36" s="251"/>
      <c r="O36" s="251"/>
      <c r="P36" s="251"/>
      <c r="Q36" s="251"/>
      <c r="R36" s="251"/>
      <c r="S36" s="251"/>
      <c r="T36" s="252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2"/>
      <c r="AG36" s="228">
        <f t="shared" si="1"/>
        <v>63</v>
      </c>
      <c r="AH36" s="261">
        <f t="shared" si="2"/>
        <v>63</v>
      </c>
      <c r="AI36" s="256"/>
      <c r="AJ36" s="256">
        <v>1</v>
      </c>
      <c r="AK36" s="256"/>
      <c r="AL36" s="330">
        <f>B139</f>
        <v>720</v>
      </c>
      <c r="AM36" s="226">
        <f t="shared" si="3"/>
        <v>0</v>
      </c>
      <c r="AN36" s="227">
        <f t="shared" si="0"/>
        <v>45360</v>
      </c>
      <c r="AO36" s="248">
        <f t="shared" si="4"/>
        <v>0</v>
      </c>
      <c r="AP36" s="250">
        <f t="shared" si="5"/>
        <v>63</v>
      </c>
      <c r="AQ36" s="341"/>
      <c r="AR36" s="342" t="s">
        <v>296</v>
      </c>
      <c r="AS36" s="250">
        <f t="shared" si="6"/>
        <v>3</v>
      </c>
      <c r="AT36" s="250">
        <f t="shared" si="7"/>
        <v>0</v>
      </c>
    </row>
    <row r="37" spans="1:46" s="250" customFormat="1" ht="12.75" x14ac:dyDescent="0.2">
      <c r="A37" s="247" t="s">
        <v>221</v>
      </c>
      <c r="B37" s="88" t="s">
        <v>250</v>
      </c>
      <c r="C37" s="133"/>
      <c r="D37" s="251"/>
      <c r="E37" s="251"/>
      <c r="F37" s="251"/>
      <c r="G37" s="251"/>
      <c r="H37" s="252"/>
      <c r="I37" s="251"/>
      <c r="J37" s="251"/>
      <c r="K37" s="251">
        <v>1</v>
      </c>
      <c r="L37" s="251">
        <v>1</v>
      </c>
      <c r="M37" s="251">
        <v>1</v>
      </c>
      <c r="N37" s="251"/>
      <c r="O37" s="251"/>
      <c r="P37" s="251"/>
      <c r="Q37" s="251"/>
      <c r="R37" s="251"/>
      <c r="S37" s="251"/>
      <c r="T37" s="252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2"/>
      <c r="AG37" s="228">
        <f t="shared" si="1"/>
        <v>63</v>
      </c>
      <c r="AH37" s="261">
        <f t="shared" si="2"/>
        <v>63</v>
      </c>
      <c r="AI37" s="256"/>
      <c r="AJ37" s="256">
        <v>0.1</v>
      </c>
      <c r="AK37" s="256"/>
      <c r="AL37" s="330">
        <f>B137</f>
        <v>1107.6923076923076</v>
      </c>
      <c r="AM37" s="226">
        <f t="shared" si="3"/>
        <v>0</v>
      </c>
      <c r="AN37" s="227">
        <f t="shared" si="0"/>
        <v>6978.461538461539</v>
      </c>
      <c r="AO37" s="248">
        <f t="shared" si="4"/>
        <v>0</v>
      </c>
      <c r="AP37" s="250">
        <f t="shared" si="5"/>
        <v>6.3000000000000007</v>
      </c>
      <c r="AQ37" s="341"/>
      <c r="AR37" s="347">
        <v>0.09</v>
      </c>
      <c r="AS37" s="250">
        <f t="shared" si="6"/>
        <v>3</v>
      </c>
      <c r="AT37" s="250">
        <f t="shared" si="7"/>
        <v>0</v>
      </c>
    </row>
    <row r="38" spans="1:46" s="250" customFormat="1" ht="12.75" x14ac:dyDescent="0.2">
      <c r="A38" s="247" t="s">
        <v>221</v>
      </c>
      <c r="B38" s="88" t="s">
        <v>252</v>
      </c>
      <c r="C38" s="133"/>
      <c r="D38" s="251"/>
      <c r="E38" s="251"/>
      <c r="F38" s="251"/>
      <c r="G38" s="251"/>
      <c r="H38" s="252"/>
      <c r="I38" s="251"/>
      <c r="J38" s="251"/>
      <c r="K38" s="251">
        <v>1</v>
      </c>
      <c r="L38" s="251">
        <v>1</v>
      </c>
      <c r="M38" s="251">
        <v>1</v>
      </c>
      <c r="N38" s="251"/>
      <c r="O38" s="251"/>
      <c r="P38" s="251"/>
      <c r="Q38" s="251"/>
      <c r="R38" s="251"/>
      <c r="S38" s="251"/>
      <c r="T38" s="252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2"/>
      <c r="AG38" s="228">
        <f t="shared" si="1"/>
        <v>63</v>
      </c>
      <c r="AH38" s="261">
        <f t="shared" si="2"/>
        <v>63</v>
      </c>
      <c r="AI38" s="256"/>
      <c r="AJ38" s="256">
        <v>0.3</v>
      </c>
      <c r="AK38" s="256"/>
      <c r="AL38" s="329">
        <f>B140</f>
        <v>600</v>
      </c>
      <c r="AM38" s="226">
        <f t="shared" si="3"/>
        <v>0</v>
      </c>
      <c r="AN38" s="227">
        <f t="shared" si="0"/>
        <v>11340</v>
      </c>
      <c r="AO38" s="248">
        <f t="shared" si="4"/>
        <v>0</v>
      </c>
      <c r="AP38" s="250">
        <f t="shared" si="5"/>
        <v>18.899999999999999</v>
      </c>
      <c r="AQ38" s="341"/>
      <c r="AR38" s="343">
        <f>AR65*AR37</f>
        <v>44.169300000000007</v>
      </c>
      <c r="AS38" s="250">
        <f t="shared" si="6"/>
        <v>3</v>
      </c>
      <c r="AT38" s="250">
        <f t="shared" si="7"/>
        <v>0</v>
      </c>
    </row>
    <row r="39" spans="1:46" s="250" customFormat="1" ht="12.75" x14ac:dyDescent="0.2">
      <c r="A39" s="247" t="s">
        <v>221</v>
      </c>
      <c r="B39" s="88" t="s">
        <v>271</v>
      </c>
      <c r="C39" s="133"/>
      <c r="D39" s="251"/>
      <c r="E39" s="251"/>
      <c r="F39" s="251"/>
      <c r="G39" s="251"/>
      <c r="H39" s="252"/>
      <c r="I39" s="251"/>
      <c r="J39" s="251"/>
      <c r="K39" s="251">
        <v>1</v>
      </c>
      <c r="L39" s="251">
        <v>1</v>
      </c>
      <c r="M39" s="251">
        <v>1</v>
      </c>
      <c r="N39" s="251"/>
      <c r="O39" s="251"/>
      <c r="P39" s="251"/>
      <c r="Q39" s="251"/>
      <c r="R39" s="251"/>
      <c r="S39" s="251"/>
      <c r="T39" s="252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2"/>
      <c r="AG39" s="228">
        <f t="shared" si="1"/>
        <v>63</v>
      </c>
      <c r="AH39" s="261">
        <f t="shared" si="2"/>
        <v>63</v>
      </c>
      <c r="AI39" s="256"/>
      <c r="AJ39" s="256">
        <v>0.1</v>
      </c>
      <c r="AK39" s="256"/>
      <c r="AL39" s="329">
        <f>B141</f>
        <v>704</v>
      </c>
      <c r="AM39" s="226">
        <f t="shared" si="3"/>
        <v>0</v>
      </c>
      <c r="AN39" s="227">
        <f t="shared" si="0"/>
        <v>4435.2000000000007</v>
      </c>
      <c r="AO39" s="248">
        <f t="shared" si="4"/>
        <v>0</v>
      </c>
      <c r="AP39" s="250">
        <f t="shared" si="5"/>
        <v>6.3000000000000007</v>
      </c>
      <c r="AQ39" s="341"/>
      <c r="AR39" s="341"/>
      <c r="AS39" s="250">
        <f t="shared" si="6"/>
        <v>3</v>
      </c>
      <c r="AT39" s="250">
        <f t="shared" si="7"/>
        <v>0</v>
      </c>
    </row>
    <row r="40" spans="1:46" s="250" customFormat="1" ht="12.75" x14ac:dyDescent="0.2">
      <c r="A40" s="247" t="s">
        <v>221</v>
      </c>
      <c r="B40" s="88" t="s">
        <v>268</v>
      </c>
      <c r="C40" s="133"/>
      <c r="D40" s="251"/>
      <c r="E40" s="251"/>
      <c r="F40" s="251"/>
      <c r="G40" s="251"/>
      <c r="H40" s="252"/>
      <c r="I40" s="251"/>
      <c r="J40" s="251"/>
      <c r="K40" s="251">
        <v>1</v>
      </c>
      <c r="L40" s="251">
        <v>1</v>
      </c>
      <c r="M40" s="251">
        <v>1</v>
      </c>
      <c r="N40" s="251"/>
      <c r="O40" s="251"/>
      <c r="P40" s="251"/>
      <c r="Q40" s="251"/>
      <c r="R40" s="251"/>
      <c r="S40" s="251"/>
      <c r="T40" s="252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2"/>
      <c r="AG40" s="228">
        <f t="shared" si="1"/>
        <v>63</v>
      </c>
      <c r="AH40" s="261">
        <f t="shared" si="2"/>
        <v>63</v>
      </c>
      <c r="AI40" s="256"/>
      <c r="AJ40" s="256">
        <v>0.15</v>
      </c>
      <c r="AK40" s="256"/>
      <c r="AL40" s="329">
        <f>B133</f>
        <v>764</v>
      </c>
      <c r="AM40" s="226">
        <f t="shared" si="3"/>
        <v>0</v>
      </c>
      <c r="AN40" s="227">
        <f t="shared" si="0"/>
        <v>7219.7999999999993</v>
      </c>
      <c r="AO40" s="248">
        <f t="shared" si="4"/>
        <v>0</v>
      </c>
      <c r="AP40" s="250">
        <f t="shared" si="5"/>
        <v>9.4499999999999993</v>
      </c>
      <c r="AQ40" s="341"/>
      <c r="AR40" s="341"/>
      <c r="AS40" s="250">
        <f t="shared" si="6"/>
        <v>3</v>
      </c>
      <c r="AT40" s="250">
        <f t="shared" si="7"/>
        <v>0</v>
      </c>
    </row>
    <row r="41" spans="1:46" s="250" customFormat="1" ht="12.75" x14ac:dyDescent="0.2">
      <c r="A41" s="247" t="s">
        <v>221</v>
      </c>
      <c r="B41" s="88" t="s">
        <v>273</v>
      </c>
      <c r="C41" s="133"/>
      <c r="D41" s="251"/>
      <c r="E41" s="251"/>
      <c r="F41" s="251"/>
      <c r="G41" s="251"/>
      <c r="H41" s="252"/>
      <c r="I41" s="251"/>
      <c r="J41" s="251"/>
      <c r="K41" s="251">
        <v>1</v>
      </c>
      <c r="L41" s="251">
        <v>1</v>
      </c>
      <c r="M41" s="251">
        <v>1</v>
      </c>
      <c r="N41" s="251"/>
      <c r="O41" s="251"/>
      <c r="P41" s="251"/>
      <c r="Q41" s="251"/>
      <c r="R41" s="251"/>
      <c r="S41" s="251"/>
      <c r="T41" s="252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2"/>
      <c r="AG41" s="228">
        <f t="shared" si="1"/>
        <v>63</v>
      </c>
      <c r="AH41" s="261">
        <f t="shared" si="2"/>
        <v>63</v>
      </c>
      <c r="AI41" s="256"/>
      <c r="AJ41" s="256">
        <v>7.0000000000000007E-2</v>
      </c>
      <c r="AK41" s="256"/>
      <c r="AL41" s="330">
        <f>B134</f>
        <v>916.8</v>
      </c>
      <c r="AM41" s="226">
        <f t="shared" si="3"/>
        <v>0</v>
      </c>
      <c r="AN41" s="227">
        <f t="shared" si="0"/>
        <v>4043.0879999999997</v>
      </c>
      <c r="AO41" s="248">
        <f t="shared" si="4"/>
        <v>0</v>
      </c>
      <c r="AP41" s="250">
        <f t="shared" si="5"/>
        <v>4.41</v>
      </c>
      <c r="AQ41" s="341"/>
      <c r="AR41" s="342" t="s">
        <v>297</v>
      </c>
      <c r="AS41" s="250">
        <f t="shared" si="6"/>
        <v>3</v>
      </c>
      <c r="AT41" s="250">
        <f t="shared" si="7"/>
        <v>0</v>
      </c>
    </row>
    <row r="42" spans="1:46" s="250" customFormat="1" ht="12.75" x14ac:dyDescent="0.2">
      <c r="A42" s="247" t="s">
        <v>223</v>
      </c>
      <c r="B42" s="88" t="s">
        <v>267</v>
      </c>
      <c r="C42" s="133"/>
      <c r="D42" s="251"/>
      <c r="E42" s="251"/>
      <c r="F42" s="251"/>
      <c r="G42" s="251"/>
      <c r="H42" s="252"/>
      <c r="I42" s="251"/>
      <c r="J42" s="251"/>
      <c r="K42" s="251"/>
      <c r="L42" s="251">
        <v>1</v>
      </c>
      <c r="M42" s="251">
        <v>1</v>
      </c>
      <c r="N42" s="251"/>
      <c r="O42" s="251"/>
      <c r="P42" s="251"/>
      <c r="Q42" s="251"/>
      <c r="R42" s="251"/>
      <c r="S42" s="251"/>
      <c r="T42" s="252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2"/>
      <c r="AG42" s="228">
        <f t="shared" si="1"/>
        <v>42</v>
      </c>
      <c r="AH42" s="261">
        <f t="shared" si="2"/>
        <v>42</v>
      </c>
      <c r="AI42" s="256"/>
      <c r="AJ42" s="256">
        <v>0.09</v>
      </c>
      <c r="AK42" s="256"/>
      <c r="AL42" s="329">
        <f>B130</f>
        <v>764</v>
      </c>
      <c r="AM42" s="226">
        <f t="shared" si="3"/>
        <v>0</v>
      </c>
      <c r="AN42" s="227">
        <f t="shared" si="0"/>
        <v>2887.92</v>
      </c>
      <c r="AO42" s="248">
        <f t="shared" si="4"/>
        <v>0</v>
      </c>
      <c r="AP42" s="250">
        <f t="shared" si="5"/>
        <v>3.78</v>
      </c>
      <c r="AQ42" s="341"/>
      <c r="AR42" s="347">
        <v>0.03</v>
      </c>
      <c r="AS42" s="250">
        <f t="shared" si="6"/>
        <v>2</v>
      </c>
      <c r="AT42" s="250">
        <f t="shared" si="7"/>
        <v>0</v>
      </c>
    </row>
    <row r="43" spans="1:46" s="250" customFormat="1" ht="12.75" x14ac:dyDescent="0.2">
      <c r="A43" s="247" t="s">
        <v>223</v>
      </c>
      <c r="B43" s="88" t="s">
        <v>270</v>
      </c>
      <c r="C43" s="133"/>
      <c r="D43" s="251"/>
      <c r="E43" s="251"/>
      <c r="F43" s="251"/>
      <c r="G43" s="251"/>
      <c r="H43" s="252"/>
      <c r="I43" s="251"/>
      <c r="J43" s="251"/>
      <c r="K43" s="251"/>
      <c r="L43" s="251">
        <v>1</v>
      </c>
      <c r="M43" s="251">
        <v>1</v>
      </c>
      <c r="N43" s="251"/>
      <c r="O43" s="251"/>
      <c r="P43" s="251"/>
      <c r="Q43" s="251"/>
      <c r="R43" s="251"/>
      <c r="S43" s="251"/>
      <c r="T43" s="252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2"/>
      <c r="AG43" s="228">
        <f t="shared" si="1"/>
        <v>42</v>
      </c>
      <c r="AH43" s="261">
        <f t="shared" si="2"/>
        <v>42</v>
      </c>
      <c r="AI43" s="256"/>
      <c r="AJ43" s="256">
        <v>1.5</v>
      </c>
      <c r="AK43" s="256"/>
      <c r="AL43" s="329">
        <f>B142</f>
        <v>576</v>
      </c>
      <c r="AM43" s="226">
        <f t="shared" si="3"/>
        <v>0</v>
      </c>
      <c r="AN43" s="227">
        <f t="shared" si="0"/>
        <v>36288</v>
      </c>
      <c r="AO43" s="248">
        <f t="shared" si="4"/>
        <v>0</v>
      </c>
      <c r="AP43" s="250">
        <f t="shared" si="5"/>
        <v>63</v>
      </c>
      <c r="AQ43" s="341"/>
      <c r="AR43" s="343">
        <f>AR65*AR42</f>
        <v>14.723100000000002</v>
      </c>
      <c r="AS43" s="250">
        <f t="shared" si="6"/>
        <v>2</v>
      </c>
      <c r="AT43" s="250">
        <f t="shared" si="7"/>
        <v>0</v>
      </c>
    </row>
    <row r="44" spans="1:46" s="250" customFormat="1" ht="12.75" x14ac:dyDescent="0.2">
      <c r="A44" s="247" t="s">
        <v>223</v>
      </c>
      <c r="B44" s="88" t="s">
        <v>269</v>
      </c>
      <c r="C44" s="133"/>
      <c r="D44" s="251"/>
      <c r="E44" s="251"/>
      <c r="F44" s="251"/>
      <c r="G44" s="251"/>
      <c r="H44" s="252"/>
      <c r="I44" s="251"/>
      <c r="J44" s="251"/>
      <c r="K44" s="251"/>
      <c r="L44" s="251">
        <v>1</v>
      </c>
      <c r="M44" s="251">
        <v>1</v>
      </c>
      <c r="N44" s="251"/>
      <c r="O44" s="251"/>
      <c r="P44" s="251"/>
      <c r="Q44" s="251"/>
      <c r="R44" s="251"/>
      <c r="S44" s="251"/>
      <c r="T44" s="252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2"/>
      <c r="AG44" s="228">
        <f t="shared" si="1"/>
        <v>42</v>
      </c>
      <c r="AH44" s="261">
        <f t="shared" si="2"/>
        <v>42</v>
      </c>
      <c r="AI44" s="256"/>
      <c r="AJ44" s="256">
        <v>0.7</v>
      </c>
      <c r="AK44" s="256"/>
      <c r="AL44" s="329">
        <f>B138</f>
        <v>600</v>
      </c>
      <c r="AM44" s="226">
        <f t="shared" si="3"/>
        <v>0</v>
      </c>
      <c r="AN44" s="227">
        <f t="shared" si="0"/>
        <v>17640</v>
      </c>
      <c r="AO44" s="248">
        <f t="shared" si="4"/>
        <v>0</v>
      </c>
      <c r="AP44" s="250">
        <f t="shared" si="5"/>
        <v>29.4</v>
      </c>
      <c r="AQ44" s="341"/>
      <c r="AR44" s="341"/>
      <c r="AS44" s="250">
        <f t="shared" si="6"/>
        <v>2</v>
      </c>
      <c r="AT44" s="250">
        <f t="shared" si="7"/>
        <v>0</v>
      </c>
    </row>
    <row r="45" spans="1:46" s="250" customFormat="1" ht="12.75" x14ac:dyDescent="0.2">
      <c r="A45" s="247" t="s">
        <v>223</v>
      </c>
      <c r="B45" s="88" t="s">
        <v>275</v>
      </c>
      <c r="C45" s="133"/>
      <c r="D45" s="251"/>
      <c r="E45" s="251"/>
      <c r="F45" s="251"/>
      <c r="G45" s="251"/>
      <c r="H45" s="252"/>
      <c r="I45" s="251"/>
      <c r="J45" s="251"/>
      <c r="K45" s="251"/>
      <c r="L45" s="251">
        <v>1</v>
      </c>
      <c r="M45" s="251">
        <v>1</v>
      </c>
      <c r="N45" s="251"/>
      <c r="O45" s="251"/>
      <c r="P45" s="251"/>
      <c r="Q45" s="251"/>
      <c r="R45" s="251"/>
      <c r="S45" s="251"/>
      <c r="T45" s="252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2"/>
      <c r="AG45" s="228">
        <f t="shared" si="1"/>
        <v>42</v>
      </c>
      <c r="AH45" s="261">
        <f t="shared" si="2"/>
        <v>42</v>
      </c>
      <c r="AI45" s="256"/>
      <c r="AJ45" s="256">
        <v>0.5</v>
      </c>
      <c r="AK45" s="256"/>
      <c r="AL45" s="330">
        <f>B139</f>
        <v>720</v>
      </c>
      <c r="AM45" s="226">
        <f t="shared" si="3"/>
        <v>0</v>
      </c>
      <c r="AN45" s="227">
        <f t="shared" si="0"/>
        <v>15120</v>
      </c>
      <c r="AO45" s="248">
        <f t="shared" si="4"/>
        <v>0</v>
      </c>
      <c r="AP45" s="250">
        <f t="shared" si="5"/>
        <v>21</v>
      </c>
      <c r="AQ45" s="341"/>
      <c r="AR45" s="341"/>
      <c r="AS45" s="250">
        <f t="shared" si="6"/>
        <v>2</v>
      </c>
      <c r="AT45" s="250">
        <f t="shared" si="7"/>
        <v>0</v>
      </c>
    </row>
    <row r="46" spans="1:46" s="250" customFormat="1" ht="12.75" x14ac:dyDescent="0.2">
      <c r="A46" s="247" t="s">
        <v>223</v>
      </c>
      <c r="B46" s="88" t="s">
        <v>250</v>
      </c>
      <c r="C46" s="133"/>
      <c r="D46" s="251"/>
      <c r="E46" s="251"/>
      <c r="F46" s="251"/>
      <c r="G46" s="251"/>
      <c r="H46" s="252"/>
      <c r="I46" s="251"/>
      <c r="J46" s="251"/>
      <c r="K46" s="251"/>
      <c r="L46" s="251">
        <v>1</v>
      </c>
      <c r="M46" s="251">
        <v>1</v>
      </c>
      <c r="N46" s="251"/>
      <c r="O46" s="251"/>
      <c r="P46" s="251"/>
      <c r="Q46" s="251"/>
      <c r="R46" s="251"/>
      <c r="S46" s="251"/>
      <c r="T46" s="252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2"/>
      <c r="AG46" s="228">
        <f t="shared" si="1"/>
        <v>42</v>
      </c>
      <c r="AH46" s="261">
        <f t="shared" si="2"/>
        <v>42</v>
      </c>
      <c r="AI46" s="256"/>
      <c r="AJ46" s="256">
        <v>0.1</v>
      </c>
      <c r="AK46" s="256"/>
      <c r="AL46" s="330">
        <f>B137</f>
        <v>1107.6923076923076</v>
      </c>
      <c r="AM46" s="226">
        <f t="shared" si="3"/>
        <v>0</v>
      </c>
      <c r="AN46" s="227">
        <f t="shared" si="0"/>
        <v>4652.3076923076924</v>
      </c>
      <c r="AO46" s="248">
        <f t="shared" si="4"/>
        <v>0</v>
      </c>
      <c r="AP46" s="250">
        <f t="shared" si="5"/>
        <v>4.2</v>
      </c>
      <c r="AQ46" s="341"/>
      <c r="AR46" s="342" t="s">
        <v>298</v>
      </c>
      <c r="AS46" s="250">
        <f t="shared" si="6"/>
        <v>2</v>
      </c>
      <c r="AT46" s="250">
        <f t="shared" si="7"/>
        <v>0</v>
      </c>
    </row>
    <row r="47" spans="1:46" s="250" customFormat="1" ht="12.75" x14ac:dyDescent="0.2">
      <c r="A47" s="247" t="s">
        <v>223</v>
      </c>
      <c r="B47" s="88" t="s">
        <v>252</v>
      </c>
      <c r="C47" s="133"/>
      <c r="D47" s="251"/>
      <c r="E47" s="251"/>
      <c r="F47" s="251"/>
      <c r="G47" s="251"/>
      <c r="H47" s="252"/>
      <c r="I47" s="251"/>
      <c r="J47" s="251"/>
      <c r="K47" s="251"/>
      <c r="L47" s="251">
        <v>1</v>
      </c>
      <c r="M47" s="251">
        <v>1</v>
      </c>
      <c r="N47" s="251"/>
      <c r="O47" s="251"/>
      <c r="P47" s="251"/>
      <c r="Q47" s="251"/>
      <c r="R47" s="251"/>
      <c r="S47" s="251"/>
      <c r="T47" s="252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2"/>
      <c r="AG47" s="228">
        <f t="shared" si="1"/>
        <v>42</v>
      </c>
      <c r="AH47" s="261">
        <f t="shared" si="2"/>
        <v>42</v>
      </c>
      <c r="AI47" s="256"/>
      <c r="AJ47" s="256">
        <v>0.17</v>
      </c>
      <c r="AK47" s="256"/>
      <c r="AL47" s="329">
        <f>B140</f>
        <v>600</v>
      </c>
      <c r="AM47" s="226">
        <f t="shared" si="3"/>
        <v>0</v>
      </c>
      <c r="AN47" s="227">
        <f t="shared" si="0"/>
        <v>4284</v>
      </c>
      <c r="AO47" s="248">
        <f t="shared" si="4"/>
        <v>0</v>
      </c>
      <c r="AP47" s="250">
        <f t="shared" si="5"/>
        <v>7.1400000000000006</v>
      </c>
      <c r="AQ47" s="341"/>
      <c r="AR47" s="347">
        <v>0.43</v>
      </c>
      <c r="AS47" s="250">
        <f t="shared" si="6"/>
        <v>2</v>
      </c>
      <c r="AT47" s="250">
        <f t="shared" si="7"/>
        <v>0</v>
      </c>
    </row>
    <row r="48" spans="1:46" s="250" customFormat="1" ht="12.75" x14ac:dyDescent="0.2">
      <c r="A48" s="247" t="s">
        <v>223</v>
      </c>
      <c r="B48" s="88" t="s">
        <v>271</v>
      </c>
      <c r="C48" s="133"/>
      <c r="D48" s="251"/>
      <c r="E48" s="251"/>
      <c r="F48" s="251"/>
      <c r="G48" s="251"/>
      <c r="H48" s="252"/>
      <c r="I48" s="251"/>
      <c r="J48" s="251"/>
      <c r="K48" s="251"/>
      <c r="L48" s="251">
        <v>1</v>
      </c>
      <c r="M48" s="251">
        <v>1</v>
      </c>
      <c r="N48" s="251"/>
      <c r="O48" s="251"/>
      <c r="P48" s="251"/>
      <c r="Q48" s="251"/>
      <c r="R48" s="251"/>
      <c r="S48" s="251"/>
      <c r="T48" s="252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2"/>
      <c r="AG48" s="228">
        <f t="shared" si="1"/>
        <v>42</v>
      </c>
      <c r="AH48" s="261">
        <f t="shared" si="2"/>
        <v>42</v>
      </c>
      <c r="AI48" s="256"/>
      <c r="AJ48" s="256">
        <v>0.2</v>
      </c>
      <c r="AK48" s="256"/>
      <c r="AL48" s="329">
        <f>B141</f>
        <v>704</v>
      </c>
      <c r="AM48" s="226">
        <f t="shared" si="3"/>
        <v>0</v>
      </c>
      <c r="AN48" s="227">
        <f t="shared" si="0"/>
        <v>5913.6</v>
      </c>
      <c r="AO48" s="248">
        <f t="shared" si="4"/>
        <v>0</v>
      </c>
      <c r="AP48" s="250">
        <f t="shared" si="5"/>
        <v>8.4</v>
      </c>
      <c r="AQ48" s="341"/>
      <c r="AR48" s="343">
        <f>AR65*AR47</f>
        <v>211.03110000000004</v>
      </c>
      <c r="AS48" s="250">
        <f t="shared" si="6"/>
        <v>2</v>
      </c>
      <c r="AT48" s="250">
        <f t="shared" si="7"/>
        <v>0</v>
      </c>
    </row>
    <row r="49" spans="1:46" s="250" customFormat="1" ht="12.75" x14ac:dyDescent="0.2">
      <c r="A49" s="247" t="s">
        <v>223</v>
      </c>
      <c r="B49" s="88" t="s">
        <v>268</v>
      </c>
      <c r="C49" s="133"/>
      <c r="D49" s="251"/>
      <c r="E49" s="251"/>
      <c r="F49" s="251"/>
      <c r="G49" s="251"/>
      <c r="H49" s="252"/>
      <c r="I49" s="251"/>
      <c r="J49" s="251"/>
      <c r="K49" s="251"/>
      <c r="L49" s="251">
        <v>1</v>
      </c>
      <c r="M49" s="251">
        <v>1</v>
      </c>
      <c r="N49" s="251"/>
      <c r="O49" s="251"/>
      <c r="P49" s="251"/>
      <c r="Q49" s="251"/>
      <c r="R49" s="251"/>
      <c r="S49" s="251"/>
      <c r="T49" s="252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2"/>
      <c r="AG49" s="228">
        <f t="shared" si="1"/>
        <v>42</v>
      </c>
      <c r="AH49" s="261">
        <f t="shared" si="2"/>
        <v>42</v>
      </c>
      <c r="AI49" s="256"/>
      <c r="AJ49" s="256">
        <v>0.15</v>
      </c>
      <c r="AK49" s="256"/>
      <c r="AL49" s="329">
        <f>B133</f>
        <v>764</v>
      </c>
      <c r="AM49" s="226">
        <f t="shared" si="3"/>
        <v>0</v>
      </c>
      <c r="AN49" s="227">
        <f t="shared" si="0"/>
        <v>4813.2</v>
      </c>
      <c r="AO49" s="248">
        <f t="shared" si="4"/>
        <v>0</v>
      </c>
      <c r="AP49" s="250">
        <f t="shared" si="5"/>
        <v>6.3</v>
      </c>
      <c r="AQ49" s="341"/>
      <c r="AR49" s="341"/>
      <c r="AS49" s="250">
        <f t="shared" si="6"/>
        <v>2</v>
      </c>
      <c r="AT49" s="250">
        <f t="shared" si="7"/>
        <v>0</v>
      </c>
    </row>
    <row r="50" spans="1:46" s="250" customFormat="1" ht="12.75" x14ac:dyDescent="0.2">
      <c r="A50" s="247" t="s">
        <v>223</v>
      </c>
      <c r="B50" s="88" t="s">
        <v>273</v>
      </c>
      <c r="C50" s="133"/>
      <c r="D50" s="251"/>
      <c r="E50" s="251"/>
      <c r="F50" s="251"/>
      <c r="G50" s="251"/>
      <c r="H50" s="252"/>
      <c r="I50" s="251"/>
      <c r="J50" s="251"/>
      <c r="K50" s="251"/>
      <c r="L50" s="251">
        <v>1</v>
      </c>
      <c r="M50" s="251">
        <v>1</v>
      </c>
      <c r="N50" s="251"/>
      <c r="O50" s="251"/>
      <c r="P50" s="251"/>
      <c r="Q50" s="251"/>
      <c r="R50" s="251"/>
      <c r="S50" s="251"/>
      <c r="T50" s="252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2"/>
      <c r="AG50" s="228">
        <f t="shared" si="1"/>
        <v>42</v>
      </c>
      <c r="AH50" s="261">
        <f t="shared" si="2"/>
        <v>42</v>
      </c>
      <c r="AI50" s="256"/>
      <c r="AJ50" s="256">
        <v>7.0000000000000007E-2</v>
      </c>
      <c r="AK50" s="256"/>
      <c r="AL50" s="330">
        <f>B134</f>
        <v>916.8</v>
      </c>
      <c r="AM50" s="226">
        <f t="shared" si="3"/>
        <v>0</v>
      </c>
      <c r="AN50" s="227">
        <f t="shared" si="0"/>
        <v>2695.3920000000003</v>
      </c>
      <c r="AO50" s="248">
        <f t="shared" si="4"/>
        <v>0</v>
      </c>
      <c r="AP50" s="250">
        <f t="shared" si="5"/>
        <v>2.9400000000000004</v>
      </c>
      <c r="AQ50" s="341"/>
      <c r="AR50" s="341"/>
      <c r="AS50" s="250">
        <f t="shared" si="6"/>
        <v>2</v>
      </c>
      <c r="AT50" s="250">
        <f t="shared" si="7"/>
        <v>0</v>
      </c>
    </row>
    <row r="51" spans="1:46" s="250" customFormat="1" ht="12.75" x14ac:dyDescent="0.2">
      <c r="A51" s="247" t="s">
        <v>222</v>
      </c>
      <c r="B51" s="88" t="s">
        <v>267</v>
      </c>
      <c r="C51" s="133"/>
      <c r="D51" s="251"/>
      <c r="E51" s="251"/>
      <c r="F51" s="251"/>
      <c r="G51" s="251"/>
      <c r="H51" s="252"/>
      <c r="I51" s="251"/>
      <c r="J51" s="251"/>
      <c r="K51" s="251"/>
      <c r="L51" s="251"/>
      <c r="M51" s="251"/>
      <c r="N51" s="251">
        <v>1</v>
      </c>
      <c r="O51" s="251"/>
      <c r="P51" s="251"/>
      <c r="Q51" s="251"/>
      <c r="R51" s="251"/>
      <c r="S51" s="251"/>
      <c r="T51" s="252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2"/>
      <c r="AG51" s="228">
        <f t="shared" si="1"/>
        <v>21</v>
      </c>
      <c r="AH51" s="261">
        <f t="shared" si="2"/>
        <v>21</v>
      </c>
      <c r="AI51" s="256"/>
      <c r="AJ51" s="256">
        <v>0.09</v>
      </c>
      <c r="AK51" s="256"/>
      <c r="AL51" s="329">
        <f>B130</f>
        <v>764</v>
      </c>
      <c r="AM51" s="226">
        <f t="shared" si="3"/>
        <v>0</v>
      </c>
      <c r="AN51" s="227">
        <f t="shared" si="0"/>
        <v>1443.96</v>
      </c>
      <c r="AO51" s="248">
        <f t="shared" si="4"/>
        <v>0</v>
      </c>
      <c r="AP51" s="250">
        <f t="shared" si="5"/>
        <v>1.89</v>
      </c>
      <c r="AQ51" s="341"/>
      <c r="AR51" s="342" t="s">
        <v>299</v>
      </c>
      <c r="AS51" s="250">
        <f t="shared" si="6"/>
        <v>1</v>
      </c>
      <c r="AT51" s="250">
        <f t="shared" si="7"/>
        <v>0</v>
      </c>
    </row>
    <row r="52" spans="1:46" s="250" customFormat="1" ht="12.75" x14ac:dyDescent="0.2">
      <c r="A52" s="247" t="s">
        <v>222</v>
      </c>
      <c r="B52" s="88" t="s">
        <v>271</v>
      </c>
      <c r="C52" s="133"/>
      <c r="D52" s="251"/>
      <c r="E52" s="251"/>
      <c r="F52" s="251"/>
      <c r="G52" s="251"/>
      <c r="H52" s="252"/>
      <c r="I52" s="251"/>
      <c r="J52" s="251"/>
      <c r="K52" s="251"/>
      <c r="L52" s="251"/>
      <c r="M52" s="251"/>
      <c r="N52" s="251">
        <v>1</v>
      </c>
      <c r="O52" s="251"/>
      <c r="P52" s="251"/>
      <c r="Q52" s="251"/>
      <c r="R52" s="251"/>
      <c r="S52" s="251"/>
      <c r="T52" s="252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2"/>
      <c r="AG52" s="228">
        <f t="shared" si="1"/>
        <v>21</v>
      </c>
      <c r="AH52" s="261">
        <f t="shared" si="2"/>
        <v>21</v>
      </c>
      <c r="AI52" s="256"/>
      <c r="AJ52" s="256">
        <v>0.9</v>
      </c>
      <c r="AK52" s="256"/>
      <c r="AL52" s="329">
        <f>B141</f>
        <v>704</v>
      </c>
      <c r="AM52" s="226">
        <f t="shared" si="3"/>
        <v>0</v>
      </c>
      <c r="AN52" s="227">
        <f t="shared" si="0"/>
        <v>13305.600000000002</v>
      </c>
      <c r="AO52" s="248">
        <f t="shared" si="4"/>
        <v>0</v>
      </c>
      <c r="AP52" s="250">
        <f t="shared" si="5"/>
        <v>18.900000000000002</v>
      </c>
      <c r="AQ52" s="341"/>
      <c r="AR52" s="347">
        <v>0.09</v>
      </c>
      <c r="AS52" s="250">
        <f t="shared" si="6"/>
        <v>1</v>
      </c>
      <c r="AT52" s="250">
        <f t="shared" si="7"/>
        <v>0</v>
      </c>
    </row>
    <row r="53" spans="1:46" s="250" customFormat="1" ht="12.75" x14ac:dyDescent="0.2">
      <c r="A53" s="247" t="s">
        <v>222</v>
      </c>
      <c r="B53" s="88" t="s">
        <v>250</v>
      </c>
      <c r="C53" s="133"/>
      <c r="D53" s="251"/>
      <c r="E53" s="251"/>
      <c r="F53" s="251"/>
      <c r="G53" s="251"/>
      <c r="H53" s="252"/>
      <c r="I53" s="251"/>
      <c r="J53" s="251"/>
      <c r="K53" s="251"/>
      <c r="L53" s="251"/>
      <c r="M53" s="251"/>
      <c r="N53" s="251">
        <v>1</v>
      </c>
      <c r="O53" s="251"/>
      <c r="P53" s="251"/>
      <c r="Q53" s="251"/>
      <c r="R53" s="251"/>
      <c r="S53" s="251"/>
      <c r="T53" s="252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2"/>
      <c r="AG53" s="228">
        <f t="shared" si="1"/>
        <v>21</v>
      </c>
      <c r="AH53" s="261">
        <f t="shared" si="2"/>
        <v>21</v>
      </c>
      <c r="AI53" s="256"/>
      <c r="AJ53" s="256">
        <v>0.2</v>
      </c>
      <c r="AK53" s="256"/>
      <c r="AL53" s="330">
        <f>B137</f>
        <v>1107.6923076923076</v>
      </c>
      <c r="AM53" s="226">
        <f t="shared" si="3"/>
        <v>0</v>
      </c>
      <c r="AN53" s="227">
        <f t="shared" si="0"/>
        <v>4652.3076923076924</v>
      </c>
      <c r="AO53" s="248">
        <f t="shared" si="4"/>
        <v>0</v>
      </c>
      <c r="AP53" s="250">
        <f t="shared" si="5"/>
        <v>4.2</v>
      </c>
      <c r="AQ53" s="341"/>
      <c r="AR53" s="343">
        <f>AR65*AR52</f>
        <v>44.169300000000007</v>
      </c>
      <c r="AS53" s="250">
        <f t="shared" si="6"/>
        <v>1</v>
      </c>
      <c r="AT53" s="250">
        <f t="shared" si="7"/>
        <v>0</v>
      </c>
    </row>
    <row r="54" spans="1:46" s="250" customFormat="1" ht="12.75" x14ac:dyDescent="0.2">
      <c r="A54" s="247" t="s">
        <v>222</v>
      </c>
      <c r="B54" s="88" t="s">
        <v>268</v>
      </c>
      <c r="C54" s="133"/>
      <c r="D54" s="251"/>
      <c r="E54" s="251"/>
      <c r="F54" s="251"/>
      <c r="G54" s="251"/>
      <c r="H54" s="252"/>
      <c r="I54" s="251"/>
      <c r="J54" s="251"/>
      <c r="K54" s="251"/>
      <c r="L54" s="251"/>
      <c r="M54" s="251"/>
      <c r="N54" s="251">
        <v>1</v>
      </c>
      <c r="O54" s="251"/>
      <c r="P54" s="251"/>
      <c r="Q54" s="251"/>
      <c r="R54" s="251"/>
      <c r="S54" s="251"/>
      <c r="T54" s="252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2"/>
      <c r="AG54" s="228">
        <f t="shared" si="1"/>
        <v>21</v>
      </c>
      <c r="AH54" s="261">
        <f t="shared" si="2"/>
        <v>21</v>
      </c>
      <c r="AI54" s="256"/>
      <c r="AJ54" s="256">
        <v>0.15</v>
      </c>
      <c r="AK54" s="256"/>
      <c r="AL54" s="329">
        <f>B133</f>
        <v>764</v>
      </c>
      <c r="AM54" s="226">
        <f t="shared" si="3"/>
        <v>0</v>
      </c>
      <c r="AN54" s="227">
        <f t="shared" si="0"/>
        <v>2406.6</v>
      </c>
      <c r="AO54" s="248">
        <f t="shared" si="4"/>
        <v>0</v>
      </c>
      <c r="AP54" s="250">
        <f t="shared" si="5"/>
        <v>3.15</v>
      </c>
      <c r="AQ54" s="341"/>
      <c r="AR54" s="341"/>
      <c r="AS54" s="250">
        <f t="shared" si="6"/>
        <v>1</v>
      </c>
      <c r="AT54" s="250">
        <f t="shared" si="7"/>
        <v>0</v>
      </c>
    </row>
    <row r="55" spans="1:46" s="250" customFormat="1" ht="12.75" x14ac:dyDescent="0.2">
      <c r="A55" s="247" t="s">
        <v>222</v>
      </c>
      <c r="B55" s="88" t="s">
        <v>273</v>
      </c>
      <c r="C55" s="133"/>
      <c r="D55" s="251"/>
      <c r="E55" s="251"/>
      <c r="F55" s="251"/>
      <c r="G55" s="251"/>
      <c r="H55" s="252"/>
      <c r="I55" s="251"/>
      <c r="J55" s="251"/>
      <c r="K55" s="251"/>
      <c r="L55" s="251"/>
      <c r="M55" s="251"/>
      <c r="N55" s="251">
        <v>1</v>
      </c>
      <c r="O55" s="251"/>
      <c r="P55" s="251"/>
      <c r="Q55" s="251"/>
      <c r="R55" s="251"/>
      <c r="S55" s="251"/>
      <c r="T55" s="252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2"/>
      <c r="AG55" s="228">
        <f t="shared" si="1"/>
        <v>21</v>
      </c>
      <c r="AH55" s="261">
        <f t="shared" si="2"/>
        <v>21</v>
      </c>
      <c r="AI55" s="256"/>
      <c r="AJ55" s="256">
        <v>7.0000000000000007E-2</v>
      </c>
      <c r="AK55" s="256"/>
      <c r="AL55" s="330">
        <f>B134</f>
        <v>916.8</v>
      </c>
      <c r="AM55" s="226">
        <f t="shared" si="3"/>
        <v>0</v>
      </c>
      <c r="AN55" s="227">
        <f t="shared" si="0"/>
        <v>1347.6960000000001</v>
      </c>
      <c r="AO55" s="248">
        <f t="shared" si="4"/>
        <v>0</v>
      </c>
      <c r="AP55" s="250">
        <f t="shared" si="5"/>
        <v>1.4700000000000002</v>
      </c>
      <c r="AQ55" s="341"/>
      <c r="AR55" s="341"/>
      <c r="AS55" s="250">
        <f t="shared" si="6"/>
        <v>1</v>
      </c>
      <c r="AT55" s="250">
        <f t="shared" si="7"/>
        <v>0</v>
      </c>
    </row>
    <row r="56" spans="1:46" s="250" customFormat="1" ht="12.75" x14ac:dyDescent="0.2">
      <c r="A56" s="247" t="s">
        <v>230</v>
      </c>
      <c r="B56" s="88" t="s">
        <v>272</v>
      </c>
      <c r="C56" s="133"/>
      <c r="D56" s="251"/>
      <c r="E56" s="251"/>
      <c r="F56" s="251"/>
      <c r="G56" s="251"/>
      <c r="H56" s="252"/>
      <c r="I56" s="251"/>
      <c r="J56" s="251"/>
      <c r="K56" s="251"/>
      <c r="L56" s="251"/>
      <c r="M56" s="251"/>
      <c r="N56" s="251"/>
      <c r="O56" s="251">
        <v>1</v>
      </c>
      <c r="P56" s="251"/>
      <c r="Q56" s="251"/>
      <c r="R56" s="251"/>
      <c r="S56" s="251"/>
      <c r="T56" s="252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2"/>
      <c r="AG56" s="228">
        <f t="shared" si="1"/>
        <v>21</v>
      </c>
      <c r="AH56" s="261">
        <f t="shared" si="2"/>
        <v>21</v>
      </c>
      <c r="AI56" s="256"/>
      <c r="AJ56" s="256">
        <v>0.1</v>
      </c>
      <c r="AK56" s="256"/>
      <c r="AL56" s="330">
        <f>B132</f>
        <v>792</v>
      </c>
      <c r="AM56" s="226">
        <f t="shared" si="3"/>
        <v>0</v>
      </c>
      <c r="AN56" s="227">
        <f t="shared" si="0"/>
        <v>1663.2</v>
      </c>
      <c r="AO56" s="248">
        <f t="shared" si="4"/>
        <v>0</v>
      </c>
      <c r="AP56" s="250">
        <f t="shared" si="5"/>
        <v>2.1</v>
      </c>
      <c r="AQ56" s="341"/>
      <c r="AR56" s="342" t="s">
        <v>300</v>
      </c>
      <c r="AS56" s="250">
        <f t="shared" si="6"/>
        <v>1</v>
      </c>
      <c r="AT56" s="250">
        <f t="shared" si="7"/>
        <v>0</v>
      </c>
    </row>
    <row r="57" spans="1:46" s="250" customFormat="1" ht="12.75" x14ac:dyDescent="0.2">
      <c r="A57" s="247" t="s">
        <v>230</v>
      </c>
      <c r="B57" s="88" t="s">
        <v>275</v>
      </c>
      <c r="C57" s="133"/>
      <c r="D57" s="251"/>
      <c r="E57" s="251"/>
      <c r="F57" s="251"/>
      <c r="G57" s="251"/>
      <c r="H57" s="252"/>
      <c r="I57" s="251"/>
      <c r="J57" s="251"/>
      <c r="K57" s="251"/>
      <c r="L57" s="251"/>
      <c r="M57" s="251"/>
      <c r="N57" s="251"/>
      <c r="O57" s="251">
        <v>1</v>
      </c>
      <c r="P57" s="251"/>
      <c r="Q57" s="251"/>
      <c r="R57" s="251"/>
      <c r="S57" s="251"/>
      <c r="T57" s="252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2"/>
      <c r="AG57" s="228">
        <f t="shared" si="1"/>
        <v>21</v>
      </c>
      <c r="AH57" s="261">
        <f t="shared" si="2"/>
        <v>21</v>
      </c>
      <c r="AI57" s="256"/>
      <c r="AJ57" s="256">
        <v>0.1</v>
      </c>
      <c r="AK57" s="256"/>
      <c r="AL57" s="330">
        <f>B139</f>
        <v>720</v>
      </c>
      <c r="AM57" s="226">
        <f t="shared" si="3"/>
        <v>0</v>
      </c>
      <c r="AN57" s="227">
        <f t="shared" si="0"/>
        <v>1512</v>
      </c>
      <c r="AO57" s="248">
        <f t="shared" si="4"/>
        <v>0</v>
      </c>
      <c r="AP57" s="250">
        <f t="shared" si="5"/>
        <v>2.1</v>
      </c>
      <c r="AQ57" s="341"/>
      <c r="AR57" s="347">
        <v>7.0000000000000007E-2</v>
      </c>
      <c r="AS57" s="250">
        <f t="shared" si="6"/>
        <v>1</v>
      </c>
      <c r="AT57" s="250">
        <f t="shared" si="7"/>
        <v>0</v>
      </c>
    </row>
    <row r="58" spans="1:46" s="250" customFormat="1" ht="12.75" x14ac:dyDescent="0.2">
      <c r="A58" s="247" t="s">
        <v>231</v>
      </c>
      <c r="B58" s="88" t="s">
        <v>272</v>
      </c>
      <c r="C58" s="133"/>
      <c r="D58" s="251"/>
      <c r="E58" s="251"/>
      <c r="F58" s="251"/>
      <c r="G58" s="251"/>
      <c r="H58" s="252"/>
      <c r="I58" s="251"/>
      <c r="J58" s="251"/>
      <c r="K58" s="251"/>
      <c r="L58" s="251"/>
      <c r="M58" s="251"/>
      <c r="N58" s="251"/>
      <c r="O58" s="251"/>
      <c r="P58" s="251"/>
      <c r="Q58" s="251">
        <v>1</v>
      </c>
      <c r="R58" s="251"/>
      <c r="S58" s="251"/>
      <c r="T58" s="252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2"/>
      <c r="AG58" s="228">
        <f t="shared" si="1"/>
        <v>21</v>
      </c>
      <c r="AH58" s="261">
        <f t="shared" si="2"/>
        <v>21</v>
      </c>
      <c r="AI58" s="256"/>
      <c r="AJ58" s="256">
        <v>0.1</v>
      </c>
      <c r="AK58" s="256"/>
      <c r="AL58" s="330">
        <f>B132</f>
        <v>792</v>
      </c>
      <c r="AM58" s="226">
        <f t="shared" si="3"/>
        <v>0</v>
      </c>
      <c r="AN58" s="227">
        <f t="shared" si="0"/>
        <v>1663.2</v>
      </c>
      <c r="AO58" s="248">
        <f t="shared" si="4"/>
        <v>0</v>
      </c>
      <c r="AP58" s="250">
        <f t="shared" si="5"/>
        <v>2.1</v>
      </c>
      <c r="AQ58" s="341">
        <f>SUM(AP56:AP65)</f>
        <v>21.000000000000004</v>
      </c>
      <c r="AR58" s="343">
        <f>AR65*AR57</f>
        <v>34.35390000000001</v>
      </c>
      <c r="AS58" s="250">
        <f t="shared" si="6"/>
        <v>1</v>
      </c>
      <c r="AT58" s="250">
        <f t="shared" si="7"/>
        <v>0</v>
      </c>
    </row>
    <row r="59" spans="1:46" s="250" customFormat="1" ht="12.75" x14ac:dyDescent="0.2">
      <c r="A59" s="247" t="s">
        <v>231</v>
      </c>
      <c r="B59" s="88" t="s">
        <v>275</v>
      </c>
      <c r="C59" s="133"/>
      <c r="D59" s="251"/>
      <c r="E59" s="251"/>
      <c r="F59" s="251"/>
      <c r="G59" s="251"/>
      <c r="H59" s="252"/>
      <c r="I59" s="251"/>
      <c r="J59" s="251"/>
      <c r="K59" s="251"/>
      <c r="L59" s="251"/>
      <c r="M59" s="251"/>
      <c r="N59" s="251"/>
      <c r="O59" s="251"/>
      <c r="P59" s="251"/>
      <c r="Q59" s="251">
        <v>1</v>
      </c>
      <c r="R59" s="251"/>
      <c r="S59" s="251"/>
      <c r="T59" s="252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2"/>
      <c r="AG59" s="228">
        <f t="shared" si="1"/>
        <v>21</v>
      </c>
      <c r="AH59" s="261">
        <f t="shared" si="2"/>
        <v>21</v>
      </c>
      <c r="AI59" s="256"/>
      <c r="AJ59" s="256">
        <v>0.1</v>
      </c>
      <c r="AK59" s="256"/>
      <c r="AL59" s="330">
        <f>B139</f>
        <v>720</v>
      </c>
      <c r="AM59" s="226">
        <f t="shared" si="3"/>
        <v>0</v>
      </c>
      <c r="AN59" s="227">
        <f t="shared" si="0"/>
        <v>1512</v>
      </c>
      <c r="AO59" s="248">
        <f t="shared" si="4"/>
        <v>0</v>
      </c>
      <c r="AP59" s="250">
        <f t="shared" si="5"/>
        <v>2.1</v>
      </c>
      <c r="AQ59" s="341"/>
      <c r="AR59" s="341"/>
      <c r="AS59" s="250">
        <f t="shared" si="6"/>
        <v>1</v>
      </c>
      <c r="AT59" s="250">
        <f t="shared" si="7"/>
        <v>0</v>
      </c>
    </row>
    <row r="60" spans="1:46" s="250" customFormat="1" ht="12.75" x14ac:dyDescent="0.2">
      <c r="A60" s="247" t="s">
        <v>232</v>
      </c>
      <c r="B60" s="88" t="s">
        <v>272</v>
      </c>
      <c r="C60" s="133"/>
      <c r="D60" s="251"/>
      <c r="E60" s="251"/>
      <c r="F60" s="251"/>
      <c r="G60" s="251"/>
      <c r="H60" s="252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2">
        <v>1</v>
      </c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2"/>
      <c r="AG60" s="228">
        <f t="shared" si="1"/>
        <v>21</v>
      </c>
      <c r="AH60" s="261">
        <f t="shared" si="2"/>
        <v>21</v>
      </c>
      <c r="AI60" s="256"/>
      <c r="AJ60" s="256">
        <v>0.1</v>
      </c>
      <c r="AK60" s="256"/>
      <c r="AL60" s="330">
        <f>B132</f>
        <v>792</v>
      </c>
      <c r="AM60" s="226">
        <f t="shared" si="3"/>
        <v>0</v>
      </c>
      <c r="AN60" s="227">
        <f t="shared" si="0"/>
        <v>1663.2</v>
      </c>
      <c r="AO60" s="248">
        <f t="shared" si="4"/>
        <v>0</v>
      </c>
      <c r="AP60" s="250">
        <f t="shared" si="5"/>
        <v>2.1</v>
      </c>
      <c r="AQ60" s="341"/>
      <c r="AR60" s="342" t="s">
        <v>301</v>
      </c>
      <c r="AS60" s="250">
        <f t="shared" si="6"/>
        <v>1</v>
      </c>
      <c r="AT60" s="250">
        <f t="shared" si="7"/>
        <v>0</v>
      </c>
    </row>
    <row r="61" spans="1:46" s="250" customFormat="1" ht="12.75" x14ac:dyDescent="0.2">
      <c r="A61" s="247" t="s">
        <v>232</v>
      </c>
      <c r="B61" s="88" t="s">
        <v>275</v>
      </c>
      <c r="C61" s="133"/>
      <c r="D61" s="251"/>
      <c r="E61" s="251"/>
      <c r="F61" s="251"/>
      <c r="G61" s="251"/>
      <c r="H61" s="252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2">
        <v>1</v>
      </c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2"/>
      <c r="AG61" s="228">
        <f t="shared" si="1"/>
        <v>21</v>
      </c>
      <c r="AH61" s="261">
        <f t="shared" si="2"/>
        <v>21</v>
      </c>
      <c r="AI61" s="256"/>
      <c r="AJ61" s="256">
        <v>0.1</v>
      </c>
      <c r="AK61" s="256"/>
      <c r="AL61" s="330">
        <f>B139</f>
        <v>720</v>
      </c>
      <c r="AM61" s="226">
        <f t="shared" si="3"/>
        <v>0</v>
      </c>
      <c r="AN61" s="227">
        <f t="shared" si="0"/>
        <v>1512</v>
      </c>
      <c r="AO61" s="248">
        <f t="shared" si="4"/>
        <v>0</v>
      </c>
      <c r="AP61" s="250">
        <f t="shared" si="5"/>
        <v>2.1</v>
      </c>
      <c r="AQ61" s="341"/>
      <c r="AR61" s="347">
        <v>0.03</v>
      </c>
      <c r="AS61" s="250">
        <f t="shared" si="6"/>
        <v>1</v>
      </c>
      <c r="AT61" s="250">
        <f t="shared" si="7"/>
        <v>0</v>
      </c>
    </row>
    <row r="62" spans="1:46" s="250" customFormat="1" ht="12.75" x14ac:dyDescent="0.2">
      <c r="A62" s="247" t="s">
        <v>233</v>
      </c>
      <c r="B62" s="88" t="s">
        <v>272</v>
      </c>
      <c r="C62" s="133"/>
      <c r="D62" s="251"/>
      <c r="E62" s="251"/>
      <c r="F62" s="251"/>
      <c r="G62" s="251"/>
      <c r="H62" s="252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2"/>
      <c r="U62" s="251"/>
      <c r="V62" s="251"/>
      <c r="W62" s="251">
        <v>1</v>
      </c>
      <c r="X62" s="251"/>
      <c r="Y62" s="251"/>
      <c r="Z62" s="251"/>
      <c r="AA62" s="251"/>
      <c r="AB62" s="251"/>
      <c r="AC62" s="251"/>
      <c r="AD62" s="251"/>
      <c r="AE62" s="251"/>
      <c r="AF62" s="252"/>
      <c r="AG62" s="228">
        <f t="shared" si="1"/>
        <v>21</v>
      </c>
      <c r="AH62" s="261">
        <f t="shared" si="2"/>
        <v>21</v>
      </c>
      <c r="AI62" s="256"/>
      <c r="AJ62" s="256">
        <v>0.1</v>
      </c>
      <c r="AK62" s="256"/>
      <c r="AL62" s="330">
        <f>B132</f>
        <v>792</v>
      </c>
      <c r="AM62" s="226">
        <f t="shared" si="3"/>
        <v>0</v>
      </c>
      <c r="AN62" s="227">
        <f t="shared" si="0"/>
        <v>1663.2</v>
      </c>
      <c r="AO62" s="248">
        <f t="shared" si="4"/>
        <v>0</v>
      </c>
      <c r="AP62" s="250">
        <f t="shared" si="5"/>
        <v>2.1</v>
      </c>
      <c r="AQ62" s="341"/>
      <c r="AR62" s="343">
        <f>AR65*AR61</f>
        <v>14.723100000000002</v>
      </c>
      <c r="AS62" s="250">
        <f t="shared" si="6"/>
        <v>0</v>
      </c>
      <c r="AT62" s="250">
        <f t="shared" si="7"/>
        <v>1</v>
      </c>
    </row>
    <row r="63" spans="1:46" s="250" customFormat="1" ht="12.75" x14ac:dyDescent="0.2">
      <c r="A63" s="247" t="s">
        <v>233</v>
      </c>
      <c r="B63" s="88" t="s">
        <v>275</v>
      </c>
      <c r="C63" s="133"/>
      <c r="D63" s="251"/>
      <c r="E63" s="251"/>
      <c r="F63" s="251"/>
      <c r="G63" s="251"/>
      <c r="H63" s="252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2"/>
      <c r="U63" s="251"/>
      <c r="V63" s="251"/>
      <c r="W63" s="251">
        <v>1</v>
      </c>
      <c r="X63" s="251"/>
      <c r="Y63" s="251"/>
      <c r="Z63" s="251"/>
      <c r="AA63" s="251"/>
      <c r="AB63" s="251"/>
      <c r="AC63" s="251"/>
      <c r="AD63" s="251"/>
      <c r="AE63" s="251"/>
      <c r="AF63" s="252"/>
      <c r="AG63" s="228">
        <f t="shared" si="1"/>
        <v>21</v>
      </c>
      <c r="AH63" s="261">
        <f t="shared" si="2"/>
        <v>21</v>
      </c>
      <c r="AI63" s="256"/>
      <c r="AJ63" s="256">
        <v>0.1</v>
      </c>
      <c r="AK63" s="256"/>
      <c r="AL63" s="330">
        <f>B139</f>
        <v>720</v>
      </c>
      <c r="AM63" s="226">
        <f t="shared" si="3"/>
        <v>0</v>
      </c>
      <c r="AN63" s="227">
        <f t="shared" si="0"/>
        <v>1512</v>
      </c>
      <c r="AO63" s="248">
        <f t="shared" si="4"/>
        <v>0</v>
      </c>
      <c r="AP63" s="250">
        <f t="shared" si="5"/>
        <v>2.1</v>
      </c>
      <c r="AQ63" s="341"/>
      <c r="AR63" s="358">
        <f>AR27+AR32+AR37+AR42+AR47+AR52+AR57+AR61</f>
        <v>1</v>
      </c>
      <c r="AS63" s="250">
        <f t="shared" si="6"/>
        <v>0</v>
      </c>
      <c r="AT63" s="250">
        <f t="shared" si="7"/>
        <v>1</v>
      </c>
    </row>
    <row r="64" spans="1:46" s="250" customFormat="1" ht="12.75" x14ac:dyDescent="0.2">
      <c r="A64" s="247" t="s">
        <v>234</v>
      </c>
      <c r="B64" s="88" t="s">
        <v>272</v>
      </c>
      <c r="C64" s="133"/>
      <c r="D64" s="251"/>
      <c r="E64" s="251"/>
      <c r="F64" s="251"/>
      <c r="G64" s="251"/>
      <c r="H64" s="252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2"/>
      <c r="U64" s="251"/>
      <c r="V64" s="251"/>
      <c r="W64" s="251"/>
      <c r="X64" s="251"/>
      <c r="Y64" s="251"/>
      <c r="Z64" s="251">
        <v>1</v>
      </c>
      <c r="AA64" s="251"/>
      <c r="AB64" s="251"/>
      <c r="AC64" s="251"/>
      <c r="AD64" s="251"/>
      <c r="AE64" s="251"/>
      <c r="AF64" s="252"/>
      <c r="AG64" s="228">
        <f t="shared" si="1"/>
        <v>21</v>
      </c>
      <c r="AH64" s="261">
        <f t="shared" si="2"/>
        <v>21</v>
      </c>
      <c r="AI64" s="256"/>
      <c r="AJ64" s="256">
        <v>0.1</v>
      </c>
      <c r="AK64" s="256"/>
      <c r="AL64" s="330">
        <f>B132</f>
        <v>792</v>
      </c>
      <c r="AM64" s="226">
        <f t="shared" si="3"/>
        <v>0</v>
      </c>
      <c r="AN64" s="227">
        <f t="shared" si="0"/>
        <v>1663.2</v>
      </c>
      <c r="AO64" s="248">
        <f t="shared" si="4"/>
        <v>0</v>
      </c>
      <c r="AP64" s="250">
        <f t="shared" si="5"/>
        <v>2.1</v>
      </c>
      <c r="AQ64" s="341"/>
      <c r="AR64" s="342" t="s">
        <v>286</v>
      </c>
      <c r="AS64" s="250">
        <f t="shared" si="6"/>
        <v>0</v>
      </c>
      <c r="AT64" s="250">
        <f t="shared" si="7"/>
        <v>1</v>
      </c>
    </row>
    <row r="65" spans="1:50" s="250" customFormat="1" ht="12.75" x14ac:dyDescent="0.2">
      <c r="A65" s="247" t="s">
        <v>234</v>
      </c>
      <c r="B65" s="88" t="s">
        <v>275</v>
      </c>
      <c r="C65" s="133"/>
      <c r="D65" s="251"/>
      <c r="E65" s="251"/>
      <c r="F65" s="251"/>
      <c r="G65" s="251"/>
      <c r="H65" s="252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2"/>
      <c r="U65" s="251"/>
      <c r="V65" s="251"/>
      <c r="W65" s="251"/>
      <c r="X65" s="251"/>
      <c r="Y65" s="251"/>
      <c r="Z65" s="251">
        <v>1</v>
      </c>
      <c r="AA65" s="251"/>
      <c r="AB65" s="251"/>
      <c r="AC65" s="251"/>
      <c r="AD65" s="251"/>
      <c r="AE65" s="251"/>
      <c r="AF65" s="252"/>
      <c r="AG65" s="228">
        <f t="shared" si="1"/>
        <v>21</v>
      </c>
      <c r="AH65" s="261">
        <f t="shared" si="2"/>
        <v>21</v>
      </c>
      <c r="AI65" s="256"/>
      <c r="AJ65" s="256">
        <v>0.1</v>
      </c>
      <c r="AK65" s="256"/>
      <c r="AL65" s="330">
        <f>B139</f>
        <v>720</v>
      </c>
      <c r="AM65" s="226">
        <f t="shared" si="3"/>
        <v>0</v>
      </c>
      <c r="AN65" s="227">
        <f>AH65*AJ65*AL65</f>
        <v>1512</v>
      </c>
      <c r="AO65" s="248">
        <f t="shared" si="4"/>
        <v>0</v>
      </c>
      <c r="AP65" s="250">
        <f t="shared" si="5"/>
        <v>2.1</v>
      </c>
      <c r="AQ65" s="343">
        <f>SUM(AO23:AO65)</f>
        <v>0</v>
      </c>
      <c r="AR65" s="354">
        <f>SUM(AP23:AP65)</f>
        <v>490.7700000000001</v>
      </c>
      <c r="AS65" s="250">
        <f t="shared" si="6"/>
        <v>0</v>
      </c>
      <c r="AT65" s="250">
        <f t="shared" si="7"/>
        <v>1</v>
      </c>
      <c r="AV65" s="346"/>
    </row>
    <row r="66" spans="1:50" s="250" customFormat="1" x14ac:dyDescent="0.2">
      <c r="A66" s="144" t="s">
        <v>303</v>
      </c>
      <c r="B66" s="88"/>
      <c r="C66" s="133"/>
      <c r="D66" s="251"/>
      <c r="E66" s="251"/>
      <c r="F66" s="251"/>
      <c r="G66" s="251"/>
      <c r="H66" s="252"/>
      <c r="I66" s="274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6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6"/>
      <c r="AG66" s="228">
        <f t="shared" si="1"/>
        <v>0</v>
      </c>
      <c r="AH66" s="261">
        <f t="shared" si="2"/>
        <v>0</v>
      </c>
      <c r="AI66" s="256"/>
      <c r="AJ66" s="256"/>
      <c r="AK66" s="256"/>
      <c r="AL66" s="330"/>
      <c r="AM66" s="226">
        <f t="shared" si="3"/>
        <v>0</v>
      </c>
      <c r="AN66" s="227">
        <f t="shared" ref="AN66:AN109" si="8">AH66*AJ66*AL66</f>
        <v>0</v>
      </c>
      <c r="AO66" s="248">
        <f t="shared" si="4"/>
        <v>0</v>
      </c>
      <c r="AP66" s="250">
        <f t="shared" si="5"/>
        <v>0</v>
      </c>
      <c r="AQ66" s="343"/>
      <c r="AR66" s="354">
        <f>AR65/(AP127/100)</f>
        <v>73.285458935683167</v>
      </c>
      <c r="AS66" s="250">
        <f t="shared" si="6"/>
        <v>0</v>
      </c>
      <c r="AT66" s="250">
        <f t="shared" si="7"/>
        <v>0</v>
      </c>
      <c r="AV66" s="346"/>
      <c r="AW66" s="361">
        <f>SUM(AN67:AN105)</f>
        <v>89932.772676923079</v>
      </c>
      <c r="AX66" s="361">
        <f>SUM(AN106:AN109)</f>
        <v>1587.6</v>
      </c>
    </row>
    <row r="67" spans="1:50" s="250" customFormat="1" ht="12.75" x14ac:dyDescent="0.2">
      <c r="A67" s="247" t="s">
        <v>219</v>
      </c>
      <c r="B67" s="88" t="s">
        <v>267</v>
      </c>
      <c r="C67" s="133"/>
      <c r="D67" s="251"/>
      <c r="E67" s="251"/>
      <c r="F67" s="251"/>
      <c r="G67" s="251"/>
      <c r="H67" s="252"/>
      <c r="I67" s="251">
        <v>1</v>
      </c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2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2"/>
      <c r="AG67" s="228">
        <f t="shared" si="1"/>
        <v>21</v>
      </c>
      <c r="AH67" s="261">
        <f t="shared" si="2"/>
        <v>21</v>
      </c>
      <c r="AI67" s="256"/>
      <c r="AJ67" s="256">
        <v>0.02</v>
      </c>
      <c r="AK67" s="256"/>
      <c r="AL67" s="329">
        <f>B130</f>
        <v>764</v>
      </c>
      <c r="AM67" s="226">
        <f t="shared" si="3"/>
        <v>0</v>
      </c>
      <c r="AN67" s="227">
        <f t="shared" si="8"/>
        <v>320.88</v>
      </c>
      <c r="AO67" s="248">
        <f t="shared" si="4"/>
        <v>0</v>
      </c>
      <c r="AP67" s="250">
        <f t="shared" si="5"/>
        <v>0.42</v>
      </c>
      <c r="AQ67" s="343"/>
      <c r="AR67" s="354"/>
      <c r="AS67" s="250">
        <f t="shared" si="6"/>
        <v>1</v>
      </c>
      <c r="AT67" s="250">
        <f t="shared" si="7"/>
        <v>0</v>
      </c>
      <c r="AV67" s="346"/>
    </row>
    <row r="68" spans="1:50" s="250" customFormat="1" ht="12.75" x14ac:dyDescent="0.2">
      <c r="A68" s="247" t="s">
        <v>304</v>
      </c>
      <c r="B68" s="88" t="s">
        <v>244</v>
      </c>
      <c r="C68" s="133"/>
      <c r="D68" s="251"/>
      <c r="E68" s="251"/>
      <c r="F68" s="251"/>
      <c r="G68" s="251"/>
      <c r="H68" s="252"/>
      <c r="I68" s="251">
        <v>1</v>
      </c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2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2"/>
      <c r="AG68" s="228">
        <f t="shared" si="1"/>
        <v>21</v>
      </c>
      <c r="AH68" s="261">
        <f t="shared" si="2"/>
        <v>21</v>
      </c>
      <c r="AI68" s="256"/>
      <c r="AJ68" s="256">
        <v>0.23</v>
      </c>
      <c r="AK68" s="256"/>
      <c r="AL68" s="329">
        <f>B131</f>
        <v>660</v>
      </c>
      <c r="AM68" s="226">
        <f t="shared" si="3"/>
        <v>0</v>
      </c>
      <c r="AN68" s="227">
        <f t="shared" si="8"/>
        <v>3187.8</v>
      </c>
      <c r="AO68" s="248">
        <f t="shared" si="4"/>
        <v>0</v>
      </c>
      <c r="AP68" s="250">
        <f t="shared" si="5"/>
        <v>4.83</v>
      </c>
      <c r="AQ68" s="343"/>
      <c r="AR68" s="354"/>
      <c r="AS68" s="250">
        <f t="shared" si="6"/>
        <v>1</v>
      </c>
      <c r="AT68" s="250">
        <f t="shared" si="7"/>
        <v>0</v>
      </c>
      <c r="AV68" s="346"/>
    </row>
    <row r="69" spans="1:50" s="250" customFormat="1" ht="12.75" x14ac:dyDescent="0.2">
      <c r="A69" s="247" t="s">
        <v>305</v>
      </c>
      <c r="B69" s="88" t="s">
        <v>272</v>
      </c>
      <c r="C69" s="133"/>
      <c r="D69" s="251"/>
      <c r="E69" s="251"/>
      <c r="F69" s="251"/>
      <c r="G69" s="251"/>
      <c r="H69" s="252"/>
      <c r="I69" s="251">
        <v>1</v>
      </c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2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2"/>
      <c r="AG69" s="228">
        <f t="shared" si="1"/>
        <v>21</v>
      </c>
      <c r="AH69" s="261">
        <f t="shared" si="2"/>
        <v>21</v>
      </c>
      <c r="AI69" s="256"/>
      <c r="AJ69" s="256">
        <v>0.23</v>
      </c>
      <c r="AK69" s="256"/>
      <c r="AL69" s="330">
        <f>B132</f>
        <v>792</v>
      </c>
      <c r="AM69" s="226">
        <f t="shared" si="3"/>
        <v>0</v>
      </c>
      <c r="AN69" s="227">
        <f t="shared" si="8"/>
        <v>3825.36</v>
      </c>
      <c r="AO69" s="248">
        <f t="shared" si="4"/>
        <v>0</v>
      </c>
      <c r="AP69" s="250">
        <f t="shared" si="5"/>
        <v>4.83</v>
      </c>
      <c r="AQ69" s="343"/>
      <c r="AR69" s="342" t="s">
        <v>294</v>
      </c>
      <c r="AS69" s="250">
        <f t="shared" si="6"/>
        <v>1</v>
      </c>
      <c r="AT69" s="250">
        <f t="shared" si="7"/>
        <v>0</v>
      </c>
      <c r="AV69" s="346"/>
    </row>
    <row r="70" spans="1:50" s="250" customFormat="1" ht="12.75" x14ac:dyDescent="0.2">
      <c r="A70" s="247" t="s">
        <v>304</v>
      </c>
      <c r="B70" s="88" t="s">
        <v>268</v>
      </c>
      <c r="C70" s="133"/>
      <c r="D70" s="251"/>
      <c r="E70" s="251"/>
      <c r="F70" s="251"/>
      <c r="G70" s="251"/>
      <c r="H70" s="252"/>
      <c r="I70" s="251">
        <v>1</v>
      </c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2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2"/>
      <c r="AG70" s="228">
        <f t="shared" si="1"/>
        <v>21</v>
      </c>
      <c r="AH70" s="261">
        <f t="shared" si="2"/>
        <v>21</v>
      </c>
      <c r="AI70" s="256"/>
      <c r="AJ70" s="256">
        <v>2.4E-2</v>
      </c>
      <c r="AK70" s="256"/>
      <c r="AL70" s="329">
        <f>B133</f>
        <v>764</v>
      </c>
      <c r="AM70" s="226">
        <f t="shared" si="3"/>
        <v>0</v>
      </c>
      <c r="AN70" s="227">
        <f t="shared" si="8"/>
        <v>385.05599999999998</v>
      </c>
      <c r="AO70" s="248">
        <f t="shared" si="4"/>
        <v>0</v>
      </c>
      <c r="AP70" s="250">
        <f t="shared" si="5"/>
        <v>0.504</v>
      </c>
      <c r="AQ70" s="343"/>
      <c r="AR70" s="347">
        <v>0.03</v>
      </c>
      <c r="AS70" s="250">
        <f t="shared" si="6"/>
        <v>1</v>
      </c>
      <c r="AT70" s="250">
        <f t="shared" si="7"/>
        <v>0</v>
      </c>
      <c r="AV70" s="346"/>
    </row>
    <row r="71" spans="1:50" s="250" customFormat="1" ht="12.75" x14ac:dyDescent="0.2">
      <c r="A71" s="247" t="s">
        <v>305</v>
      </c>
      <c r="B71" s="88" t="s">
        <v>273</v>
      </c>
      <c r="C71" s="133"/>
      <c r="D71" s="251"/>
      <c r="E71" s="251"/>
      <c r="F71" s="251"/>
      <c r="G71" s="251"/>
      <c r="H71" s="252"/>
      <c r="I71" s="251">
        <v>1</v>
      </c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2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2"/>
      <c r="AG71" s="228">
        <f t="shared" si="1"/>
        <v>21</v>
      </c>
      <c r="AH71" s="261">
        <f t="shared" si="2"/>
        <v>21</v>
      </c>
      <c r="AI71" s="256"/>
      <c r="AJ71" s="256">
        <v>2.4E-2</v>
      </c>
      <c r="AK71" s="256"/>
      <c r="AL71" s="330">
        <f>B134</f>
        <v>916.8</v>
      </c>
      <c r="AM71" s="226">
        <f t="shared" si="3"/>
        <v>0</v>
      </c>
      <c r="AN71" s="227">
        <f t="shared" si="8"/>
        <v>462.06719999999996</v>
      </c>
      <c r="AO71" s="248">
        <f t="shared" si="4"/>
        <v>0</v>
      </c>
      <c r="AP71" s="250">
        <f t="shared" si="5"/>
        <v>0.504</v>
      </c>
      <c r="AQ71" s="343"/>
      <c r="AR71" s="343">
        <f>AR110*AR70</f>
        <v>3.9526200000000014</v>
      </c>
      <c r="AS71" s="250">
        <f t="shared" si="6"/>
        <v>1</v>
      </c>
      <c r="AT71" s="250">
        <f t="shared" si="7"/>
        <v>0</v>
      </c>
      <c r="AV71" s="346"/>
    </row>
    <row r="72" spans="1:50" s="250" customFormat="1" ht="12.75" x14ac:dyDescent="0.2">
      <c r="A72" s="247" t="s">
        <v>220</v>
      </c>
      <c r="B72" s="88" t="s">
        <v>267</v>
      </c>
      <c r="C72" s="133"/>
      <c r="D72" s="251"/>
      <c r="E72" s="251"/>
      <c r="F72" s="251"/>
      <c r="G72" s="251"/>
      <c r="H72" s="252"/>
      <c r="I72" s="251"/>
      <c r="J72" s="251">
        <v>1</v>
      </c>
      <c r="K72" s="251"/>
      <c r="L72" s="251"/>
      <c r="M72" s="251"/>
      <c r="N72" s="251"/>
      <c r="O72" s="251"/>
      <c r="P72" s="251"/>
      <c r="Q72" s="251"/>
      <c r="R72" s="251"/>
      <c r="S72" s="251"/>
      <c r="T72" s="252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2"/>
      <c r="AG72" s="228">
        <f t="shared" si="1"/>
        <v>21</v>
      </c>
      <c r="AH72" s="261">
        <f t="shared" si="2"/>
        <v>21</v>
      </c>
      <c r="AI72" s="256"/>
      <c r="AJ72" s="256">
        <v>0.02</v>
      </c>
      <c r="AK72" s="256"/>
      <c r="AL72" s="329">
        <f>B130</f>
        <v>764</v>
      </c>
      <c r="AM72" s="226">
        <f t="shared" si="3"/>
        <v>0</v>
      </c>
      <c r="AN72" s="227">
        <f t="shared" si="8"/>
        <v>320.88</v>
      </c>
      <c r="AO72" s="248">
        <f t="shared" si="4"/>
        <v>0</v>
      </c>
      <c r="AP72" s="250">
        <f t="shared" si="5"/>
        <v>0.42</v>
      </c>
      <c r="AQ72" s="343"/>
      <c r="AR72" s="341"/>
      <c r="AS72" s="250">
        <f t="shared" si="6"/>
        <v>1</v>
      </c>
      <c r="AT72" s="250">
        <f t="shared" si="7"/>
        <v>0</v>
      </c>
      <c r="AV72" s="346"/>
    </row>
    <row r="73" spans="1:50" s="250" customFormat="1" ht="12.75" x14ac:dyDescent="0.2">
      <c r="A73" s="247" t="s">
        <v>306</v>
      </c>
      <c r="B73" s="88" t="s">
        <v>245</v>
      </c>
      <c r="C73" s="133"/>
      <c r="D73" s="251"/>
      <c r="E73" s="251"/>
      <c r="F73" s="251"/>
      <c r="G73" s="251"/>
      <c r="H73" s="252"/>
      <c r="I73" s="251"/>
      <c r="J73" s="251">
        <v>1</v>
      </c>
      <c r="K73" s="251"/>
      <c r="L73" s="251"/>
      <c r="M73" s="251"/>
      <c r="N73" s="251"/>
      <c r="O73" s="251"/>
      <c r="P73" s="251"/>
      <c r="Q73" s="251"/>
      <c r="R73" s="251"/>
      <c r="S73" s="251"/>
      <c r="T73" s="252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2"/>
      <c r="AG73" s="228">
        <f t="shared" si="1"/>
        <v>21</v>
      </c>
      <c r="AH73" s="261">
        <f t="shared" si="2"/>
        <v>21</v>
      </c>
      <c r="AI73" s="256"/>
      <c r="AJ73" s="256">
        <v>0.19</v>
      </c>
      <c r="AK73" s="256"/>
      <c r="AL73" s="329">
        <f>B135</f>
        <v>768</v>
      </c>
      <c r="AM73" s="226">
        <f t="shared" si="3"/>
        <v>0</v>
      </c>
      <c r="AN73" s="227">
        <f t="shared" si="8"/>
        <v>3064.32</v>
      </c>
      <c r="AO73" s="248">
        <f t="shared" si="4"/>
        <v>0</v>
      </c>
      <c r="AP73" s="250">
        <f t="shared" si="5"/>
        <v>3.99</v>
      </c>
      <c r="AQ73" s="343"/>
      <c r="AR73" s="341"/>
      <c r="AS73" s="250">
        <f t="shared" si="6"/>
        <v>1</v>
      </c>
      <c r="AT73" s="250">
        <f t="shared" si="7"/>
        <v>0</v>
      </c>
      <c r="AV73" s="346"/>
    </row>
    <row r="74" spans="1:50" s="250" customFormat="1" ht="12.75" x14ac:dyDescent="0.2">
      <c r="A74" s="247" t="s">
        <v>310</v>
      </c>
      <c r="B74" s="88" t="s">
        <v>274</v>
      </c>
      <c r="C74" s="133"/>
      <c r="D74" s="251"/>
      <c r="E74" s="251"/>
      <c r="F74" s="251"/>
      <c r="G74" s="251"/>
      <c r="H74" s="252"/>
      <c r="I74" s="251"/>
      <c r="J74" s="251">
        <v>1</v>
      </c>
      <c r="K74" s="251"/>
      <c r="L74" s="251"/>
      <c r="M74" s="251"/>
      <c r="N74" s="251"/>
      <c r="O74" s="251"/>
      <c r="P74" s="251"/>
      <c r="Q74" s="251"/>
      <c r="R74" s="251"/>
      <c r="S74" s="251"/>
      <c r="T74" s="252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2"/>
      <c r="AG74" s="228">
        <f t="shared" si="1"/>
        <v>21</v>
      </c>
      <c r="AH74" s="261">
        <f t="shared" si="2"/>
        <v>21</v>
      </c>
      <c r="AI74" s="256"/>
      <c r="AJ74" s="256">
        <v>0.19</v>
      </c>
      <c r="AK74" s="256"/>
      <c r="AL74" s="330">
        <f>B136</f>
        <v>921.59999999999991</v>
      </c>
      <c r="AM74" s="226">
        <f t="shared" si="3"/>
        <v>0</v>
      </c>
      <c r="AN74" s="227">
        <f t="shared" si="8"/>
        <v>3677.1839999999997</v>
      </c>
      <c r="AO74" s="248">
        <f t="shared" si="4"/>
        <v>0</v>
      </c>
      <c r="AP74" s="250">
        <f t="shared" si="5"/>
        <v>3.99</v>
      </c>
      <c r="AQ74" s="343"/>
      <c r="AR74" s="342" t="s">
        <v>331</v>
      </c>
      <c r="AS74" s="250">
        <f t="shared" si="6"/>
        <v>1</v>
      </c>
      <c r="AT74" s="250">
        <f t="shared" si="7"/>
        <v>0</v>
      </c>
      <c r="AV74" s="346"/>
    </row>
    <row r="75" spans="1:50" s="250" customFormat="1" ht="12.75" x14ac:dyDescent="0.2">
      <c r="A75" s="247" t="s">
        <v>220</v>
      </c>
      <c r="B75" s="88" t="s">
        <v>250</v>
      </c>
      <c r="C75" s="133"/>
      <c r="D75" s="251"/>
      <c r="E75" s="251"/>
      <c r="F75" s="251"/>
      <c r="G75" s="251"/>
      <c r="H75" s="252"/>
      <c r="I75" s="251"/>
      <c r="J75" s="251">
        <v>1</v>
      </c>
      <c r="K75" s="251"/>
      <c r="L75" s="251"/>
      <c r="M75" s="251"/>
      <c r="N75" s="251"/>
      <c r="O75" s="251"/>
      <c r="P75" s="251"/>
      <c r="Q75" s="251"/>
      <c r="R75" s="251"/>
      <c r="S75" s="251"/>
      <c r="T75" s="252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2"/>
      <c r="AG75" s="228">
        <f t="shared" si="1"/>
        <v>21</v>
      </c>
      <c r="AH75" s="261">
        <f t="shared" si="2"/>
        <v>21</v>
      </c>
      <c r="AI75" s="256"/>
      <c r="AJ75" s="256">
        <v>0.1</v>
      </c>
      <c r="AK75" s="256"/>
      <c r="AL75" s="330">
        <f>B137</f>
        <v>1107.6923076923076</v>
      </c>
      <c r="AM75" s="226">
        <f t="shared" si="3"/>
        <v>0</v>
      </c>
      <c r="AN75" s="227">
        <f t="shared" si="8"/>
        <v>2326.1538461538462</v>
      </c>
      <c r="AO75" s="248">
        <f t="shared" si="4"/>
        <v>0</v>
      </c>
      <c r="AP75" s="250">
        <f t="shared" si="5"/>
        <v>2.1</v>
      </c>
      <c r="AQ75" s="343"/>
      <c r="AR75" s="347">
        <v>0.25</v>
      </c>
      <c r="AS75" s="250">
        <f t="shared" si="6"/>
        <v>1</v>
      </c>
      <c r="AT75" s="250">
        <f t="shared" si="7"/>
        <v>0</v>
      </c>
      <c r="AV75" s="346"/>
    </row>
    <row r="76" spans="1:50" s="250" customFormat="1" ht="12.75" x14ac:dyDescent="0.2">
      <c r="A76" s="247" t="s">
        <v>306</v>
      </c>
      <c r="B76" s="88" t="s">
        <v>268</v>
      </c>
      <c r="C76" s="133"/>
      <c r="D76" s="251"/>
      <c r="E76" s="251"/>
      <c r="F76" s="251"/>
      <c r="G76" s="251"/>
      <c r="H76" s="252"/>
      <c r="I76" s="251"/>
      <c r="J76" s="251">
        <v>1</v>
      </c>
      <c r="K76" s="251"/>
      <c r="L76" s="251"/>
      <c r="M76" s="251"/>
      <c r="N76" s="251"/>
      <c r="O76" s="251"/>
      <c r="P76" s="251"/>
      <c r="Q76" s="251"/>
      <c r="R76" s="251"/>
      <c r="S76" s="251"/>
      <c r="T76" s="252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2"/>
      <c r="AG76" s="228">
        <f t="shared" si="1"/>
        <v>21</v>
      </c>
      <c r="AH76" s="261">
        <f t="shared" si="2"/>
        <v>21</v>
      </c>
      <c r="AI76" s="256"/>
      <c r="AJ76" s="256">
        <v>2.4E-2</v>
      </c>
      <c r="AK76" s="256"/>
      <c r="AL76" s="329">
        <f>B133</f>
        <v>764</v>
      </c>
      <c r="AM76" s="226">
        <f t="shared" si="3"/>
        <v>0</v>
      </c>
      <c r="AN76" s="227">
        <f t="shared" si="8"/>
        <v>385.05599999999998</v>
      </c>
      <c r="AO76" s="248">
        <f t="shared" si="4"/>
        <v>0</v>
      </c>
      <c r="AP76" s="250">
        <f t="shared" si="5"/>
        <v>0.504</v>
      </c>
      <c r="AQ76" s="343"/>
      <c r="AR76" s="343">
        <f>AR110*AR75</f>
        <v>32.938500000000012</v>
      </c>
      <c r="AS76" s="250">
        <f t="shared" si="6"/>
        <v>1</v>
      </c>
      <c r="AT76" s="250">
        <f t="shared" si="7"/>
        <v>0</v>
      </c>
      <c r="AV76" s="346"/>
    </row>
    <row r="77" spans="1:50" s="250" customFormat="1" ht="12.75" x14ac:dyDescent="0.2">
      <c r="A77" s="247" t="s">
        <v>310</v>
      </c>
      <c r="B77" s="88" t="s">
        <v>273</v>
      </c>
      <c r="C77" s="133"/>
      <c r="D77" s="251"/>
      <c r="E77" s="251"/>
      <c r="F77" s="251"/>
      <c r="G77" s="251"/>
      <c r="H77" s="252"/>
      <c r="I77" s="251"/>
      <c r="J77" s="251">
        <v>1</v>
      </c>
      <c r="K77" s="251"/>
      <c r="L77" s="251"/>
      <c r="M77" s="251"/>
      <c r="N77" s="251"/>
      <c r="O77" s="251"/>
      <c r="P77" s="251"/>
      <c r="Q77" s="251"/>
      <c r="R77" s="251"/>
      <c r="S77" s="251"/>
      <c r="T77" s="252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2"/>
      <c r="AG77" s="228">
        <f t="shared" si="1"/>
        <v>21</v>
      </c>
      <c r="AH77" s="261">
        <f t="shared" si="2"/>
        <v>21</v>
      </c>
      <c r="AI77" s="256"/>
      <c r="AJ77" s="256">
        <v>2.4E-2</v>
      </c>
      <c r="AK77" s="256"/>
      <c r="AL77" s="330">
        <f>B134</f>
        <v>916.8</v>
      </c>
      <c r="AM77" s="226">
        <f t="shared" si="3"/>
        <v>0</v>
      </c>
      <c r="AN77" s="227">
        <f t="shared" si="8"/>
        <v>462.06719999999996</v>
      </c>
      <c r="AO77" s="248">
        <f t="shared" si="4"/>
        <v>0</v>
      </c>
      <c r="AP77" s="250">
        <f t="shared" si="5"/>
        <v>0.504</v>
      </c>
      <c r="AQ77" s="343"/>
      <c r="AR77" s="341"/>
      <c r="AS77" s="250">
        <f t="shared" si="6"/>
        <v>1</v>
      </c>
      <c r="AT77" s="250">
        <f t="shared" si="7"/>
        <v>0</v>
      </c>
      <c r="AV77" s="346"/>
    </row>
    <row r="78" spans="1:50" s="250" customFormat="1" ht="12.75" x14ac:dyDescent="0.2">
      <c r="A78" s="247" t="s">
        <v>221</v>
      </c>
      <c r="B78" s="88" t="s">
        <v>267</v>
      </c>
      <c r="C78" s="133"/>
      <c r="D78" s="251"/>
      <c r="E78" s="251"/>
      <c r="F78" s="251"/>
      <c r="G78" s="251"/>
      <c r="H78" s="252"/>
      <c r="I78" s="251"/>
      <c r="J78" s="251"/>
      <c r="K78" s="251">
        <v>1</v>
      </c>
      <c r="L78" s="251">
        <v>1</v>
      </c>
      <c r="M78" s="251">
        <v>1</v>
      </c>
      <c r="N78" s="251"/>
      <c r="O78" s="251"/>
      <c r="P78" s="251"/>
      <c r="Q78" s="251"/>
      <c r="R78" s="251"/>
      <c r="S78" s="251"/>
      <c r="T78" s="252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2"/>
      <c r="AG78" s="228">
        <f t="shared" si="1"/>
        <v>63</v>
      </c>
      <c r="AH78" s="261">
        <f t="shared" si="2"/>
        <v>63</v>
      </c>
      <c r="AI78" s="256"/>
      <c r="AJ78" s="256">
        <v>0.02</v>
      </c>
      <c r="AK78" s="256"/>
      <c r="AL78" s="329">
        <f>B130</f>
        <v>764</v>
      </c>
      <c r="AM78" s="226">
        <f t="shared" si="3"/>
        <v>0</v>
      </c>
      <c r="AN78" s="227">
        <f t="shared" si="8"/>
        <v>962.64</v>
      </c>
      <c r="AO78" s="248">
        <f t="shared" si="4"/>
        <v>0</v>
      </c>
      <c r="AP78" s="250">
        <f t="shared" si="5"/>
        <v>1.26</v>
      </c>
      <c r="AQ78" s="343"/>
      <c r="AR78" s="341"/>
      <c r="AS78" s="250">
        <f t="shared" si="6"/>
        <v>3</v>
      </c>
      <c r="AT78" s="250">
        <f t="shared" si="7"/>
        <v>0</v>
      </c>
      <c r="AV78" s="346"/>
    </row>
    <row r="79" spans="1:50" s="250" customFormat="1" ht="12.75" x14ac:dyDescent="0.2">
      <c r="A79" s="247" t="s">
        <v>307</v>
      </c>
      <c r="B79" s="88" t="s">
        <v>269</v>
      </c>
      <c r="C79" s="133"/>
      <c r="D79" s="251"/>
      <c r="E79" s="251"/>
      <c r="F79" s="251"/>
      <c r="G79" s="251"/>
      <c r="H79" s="252"/>
      <c r="I79" s="251"/>
      <c r="J79" s="251"/>
      <c r="K79" s="251">
        <v>1</v>
      </c>
      <c r="L79" s="251">
        <v>1</v>
      </c>
      <c r="M79" s="251">
        <v>1</v>
      </c>
      <c r="N79" s="251"/>
      <c r="O79" s="251"/>
      <c r="P79" s="251"/>
      <c r="Q79" s="251"/>
      <c r="R79" s="251"/>
      <c r="S79" s="251"/>
      <c r="T79" s="252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2"/>
      <c r="AG79" s="228">
        <f t="shared" si="1"/>
        <v>63</v>
      </c>
      <c r="AH79" s="261">
        <f t="shared" si="2"/>
        <v>63</v>
      </c>
      <c r="AI79" s="256"/>
      <c r="AJ79" s="256">
        <v>0.47</v>
      </c>
      <c r="AK79" s="256"/>
      <c r="AL79" s="329">
        <f>B138</f>
        <v>600</v>
      </c>
      <c r="AM79" s="226">
        <f t="shared" si="3"/>
        <v>0</v>
      </c>
      <c r="AN79" s="227">
        <f t="shared" si="8"/>
        <v>17766</v>
      </c>
      <c r="AO79" s="248">
        <f t="shared" si="4"/>
        <v>0</v>
      </c>
      <c r="AP79" s="250">
        <f t="shared" si="5"/>
        <v>29.61</v>
      </c>
      <c r="AQ79" s="343"/>
      <c r="AR79" s="342" t="s">
        <v>332</v>
      </c>
      <c r="AS79" s="250">
        <f t="shared" si="6"/>
        <v>3</v>
      </c>
      <c r="AT79" s="250">
        <f t="shared" si="7"/>
        <v>0</v>
      </c>
      <c r="AV79" s="346"/>
    </row>
    <row r="80" spans="1:50" s="250" customFormat="1" ht="12.75" x14ac:dyDescent="0.2">
      <c r="A80" s="247" t="s">
        <v>311</v>
      </c>
      <c r="B80" s="88" t="s">
        <v>275</v>
      </c>
      <c r="C80" s="133"/>
      <c r="D80" s="251"/>
      <c r="E80" s="251"/>
      <c r="F80" s="251"/>
      <c r="G80" s="251"/>
      <c r="H80" s="252"/>
      <c r="I80" s="251"/>
      <c r="J80" s="251"/>
      <c r="K80" s="251">
        <v>1</v>
      </c>
      <c r="L80" s="251">
        <v>1</v>
      </c>
      <c r="M80" s="251">
        <v>1</v>
      </c>
      <c r="N80" s="251"/>
      <c r="O80" s="251"/>
      <c r="P80" s="251"/>
      <c r="Q80" s="251"/>
      <c r="R80" s="251"/>
      <c r="S80" s="251"/>
      <c r="T80" s="252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2"/>
      <c r="AG80" s="228">
        <f t="shared" si="1"/>
        <v>63</v>
      </c>
      <c r="AH80" s="261">
        <f t="shared" si="2"/>
        <v>63</v>
      </c>
      <c r="AI80" s="256"/>
      <c r="AJ80" s="256">
        <v>0.23</v>
      </c>
      <c r="AK80" s="256"/>
      <c r="AL80" s="330">
        <f>B139</f>
        <v>720</v>
      </c>
      <c r="AM80" s="226">
        <f t="shared" si="3"/>
        <v>0</v>
      </c>
      <c r="AN80" s="227">
        <f t="shared" si="8"/>
        <v>10432.799999999999</v>
      </c>
      <c r="AO80" s="248">
        <f t="shared" si="4"/>
        <v>0</v>
      </c>
      <c r="AP80" s="250">
        <f t="shared" si="5"/>
        <v>14.49</v>
      </c>
      <c r="AQ80" s="343"/>
      <c r="AR80" s="347">
        <v>0.1</v>
      </c>
      <c r="AS80" s="250">
        <f t="shared" si="6"/>
        <v>3</v>
      </c>
      <c r="AT80" s="250">
        <f t="shared" si="7"/>
        <v>0</v>
      </c>
      <c r="AV80" s="346"/>
    </row>
    <row r="81" spans="1:48" s="250" customFormat="1" ht="12.75" x14ac:dyDescent="0.2">
      <c r="A81" s="247" t="s">
        <v>221</v>
      </c>
      <c r="B81" s="88" t="s">
        <v>250</v>
      </c>
      <c r="C81" s="133"/>
      <c r="D81" s="251"/>
      <c r="E81" s="251"/>
      <c r="F81" s="251"/>
      <c r="G81" s="251"/>
      <c r="H81" s="252"/>
      <c r="I81" s="251"/>
      <c r="J81" s="251"/>
      <c r="K81" s="251">
        <v>1</v>
      </c>
      <c r="L81" s="251">
        <v>1</v>
      </c>
      <c r="M81" s="251">
        <v>1</v>
      </c>
      <c r="N81" s="251"/>
      <c r="O81" s="251"/>
      <c r="P81" s="251"/>
      <c r="Q81" s="251"/>
      <c r="R81" s="251"/>
      <c r="S81" s="251"/>
      <c r="T81" s="252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2"/>
      <c r="AG81" s="228">
        <f t="shared" si="1"/>
        <v>63</v>
      </c>
      <c r="AH81" s="261">
        <f t="shared" si="2"/>
        <v>63</v>
      </c>
      <c r="AI81" s="256"/>
      <c r="AJ81" s="256">
        <v>2.5000000000000001E-2</v>
      </c>
      <c r="AK81" s="256"/>
      <c r="AL81" s="330">
        <f>B137</f>
        <v>1107.6923076923076</v>
      </c>
      <c r="AM81" s="226">
        <f t="shared" si="3"/>
        <v>0</v>
      </c>
      <c r="AN81" s="227">
        <f t="shared" si="8"/>
        <v>1744.6153846153848</v>
      </c>
      <c r="AO81" s="248">
        <f t="shared" si="4"/>
        <v>0</v>
      </c>
      <c r="AP81" s="250">
        <f t="shared" si="5"/>
        <v>1.5750000000000002</v>
      </c>
      <c r="AQ81" s="343"/>
      <c r="AR81" s="343">
        <f>AR110*AR80</f>
        <v>13.175400000000005</v>
      </c>
      <c r="AS81" s="250">
        <f t="shared" si="6"/>
        <v>3</v>
      </c>
      <c r="AT81" s="250">
        <f t="shared" si="7"/>
        <v>0</v>
      </c>
      <c r="AV81" s="346"/>
    </row>
    <row r="82" spans="1:48" s="250" customFormat="1" ht="12.75" x14ac:dyDescent="0.2">
      <c r="A82" s="247" t="s">
        <v>221</v>
      </c>
      <c r="B82" s="88" t="s">
        <v>252</v>
      </c>
      <c r="C82" s="133"/>
      <c r="D82" s="251"/>
      <c r="E82" s="251"/>
      <c r="F82" s="251"/>
      <c r="G82" s="251"/>
      <c r="H82" s="252"/>
      <c r="I82" s="251"/>
      <c r="J82" s="251"/>
      <c r="K82" s="251">
        <v>1</v>
      </c>
      <c r="L82" s="251">
        <v>1</v>
      </c>
      <c r="M82" s="251">
        <v>1</v>
      </c>
      <c r="N82" s="251"/>
      <c r="O82" s="251"/>
      <c r="P82" s="251"/>
      <c r="Q82" s="251"/>
      <c r="R82" s="251"/>
      <c r="S82" s="251"/>
      <c r="T82" s="252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2"/>
      <c r="AG82" s="228">
        <f t="shared" si="1"/>
        <v>63</v>
      </c>
      <c r="AH82" s="261">
        <f t="shared" si="2"/>
        <v>63</v>
      </c>
      <c r="AI82" s="256"/>
      <c r="AJ82" s="256">
        <v>0.05</v>
      </c>
      <c r="AK82" s="256"/>
      <c r="AL82" s="329">
        <f>B140</f>
        <v>600</v>
      </c>
      <c r="AM82" s="226">
        <f t="shared" si="3"/>
        <v>0</v>
      </c>
      <c r="AN82" s="227">
        <f t="shared" si="8"/>
        <v>1890.0000000000002</v>
      </c>
      <c r="AO82" s="248">
        <f t="shared" si="4"/>
        <v>0</v>
      </c>
      <c r="AP82" s="250">
        <f t="shared" si="5"/>
        <v>3.1500000000000004</v>
      </c>
      <c r="AQ82" s="343"/>
      <c r="AR82" s="341">
        <f>AR71+AR81+AR86+AR96+AR105</f>
        <v>54.019140000000021</v>
      </c>
      <c r="AS82" s="250">
        <f t="shared" si="6"/>
        <v>3</v>
      </c>
      <c r="AT82" s="250">
        <f t="shared" si="7"/>
        <v>0</v>
      </c>
      <c r="AV82" s="346"/>
    </row>
    <row r="83" spans="1:48" s="250" customFormat="1" ht="12.75" x14ac:dyDescent="0.2">
      <c r="A83" s="247" t="s">
        <v>221</v>
      </c>
      <c r="B83" s="88" t="s">
        <v>271</v>
      </c>
      <c r="C83" s="133"/>
      <c r="D83" s="251"/>
      <c r="E83" s="251"/>
      <c r="F83" s="251"/>
      <c r="G83" s="251"/>
      <c r="H83" s="252"/>
      <c r="I83" s="251"/>
      <c r="J83" s="251"/>
      <c r="K83" s="251">
        <v>1</v>
      </c>
      <c r="L83" s="251">
        <v>1</v>
      </c>
      <c r="M83" s="251">
        <v>1</v>
      </c>
      <c r="N83" s="251"/>
      <c r="O83" s="251"/>
      <c r="P83" s="251"/>
      <c r="Q83" s="251"/>
      <c r="R83" s="251"/>
      <c r="S83" s="251"/>
      <c r="T83" s="252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2"/>
      <c r="AG83" s="228">
        <f t="shared" si="1"/>
        <v>63</v>
      </c>
      <c r="AH83" s="261">
        <f t="shared" si="2"/>
        <v>63</v>
      </c>
      <c r="AI83" s="256"/>
      <c r="AJ83" s="256">
        <v>2.5000000000000001E-2</v>
      </c>
      <c r="AK83" s="256"/>
      <c r="AL83" s="329">
        <f>B141</f>
        <v>704</v>
      </c>
      <c r="AM83" s="226">
        <f t="shared" si="3"/>
        <v>0</v>
      </c>
      <c r="AN83" s="227">
        <f t="shared" si="8"/>
        <v>1108.8000000000002</v>
      </c>
      <c r="AO83" s="248">
        <f t="shared" si="4"/>
        <v>0</v>
      </c>
      <c r="AP83" s="250">
        <f t="shared" si="5"/>
        <v>1.5750000000000002</v>
      </c>
      <c r="AQ83" s="343"/>
      <c r="AR83" s="341"/>
      <c r="AS83" s="250">
        <f t="shared" si="6"/>
        <v>3</v>
      </c>
      <c r="AT83" s="250">
        <f t="shared" si="7"/>
        <v>0</v>
      </c>
      <c r="AV83" s="346"/>
    </row>
    <row r="84" spans="1:48" s="250" customFormat="1" ht="12.75" x14ac:dyDescent="0.2">
      <c r="A84" s="247" t="s">
        <v>307</v>
      </c>
      <c r="B84" s="88" t="s">
        <v>268</v>
      </c>
      <c r="C84" s="133"/>
      <c r="D84" s="251"/>
      <c r="E84" s="251"/>
      <c r="F84" s="251"/>
      <c r="G84" s="251"/>
      <c r="H84" s="252"/>
      <c r="I84" s="251"/>
      <c r="J84" s="251"/>
      <c r="K84" s="251">
        <v>1</v>
      </c>
      <c r="L84" s="251">
        <v>1</v>
      </c>
      <c r="M84" s="251">
        <v>1</v>
      </c>
      <c r="N84" s="251"/>
      <c r="O84" s="251"/>
      <c r="P84" s="251"/>
      <c r="Q84" s="251"/>
      <c r="R84" s="251"/>
      <c r="S84" s="251"/>
      <c r="T84" s="252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2"/>
      <c r="AG84" s="228">
        <f t="shared" si="1"/>
        <v>63</v>
      </c>
      <c r="AH84" s="261">
        <f t="shared" si="2"/>
        <v>63</v>
      </c>
      <c r="AI84" s="256"/>
      <c r="AJ84" s="256">
        <v>2.4E-2</v>
      </c>
      <c r="AK84" s="256"/>
      <c r="AL84" s="329">
        <f>B133</f>
        <v>764</v>
      </c>
      <c r="AM84" s="226">
        <f t="shared" si="3"/>
        <v>0</v>
      </c>
      <c r="AN84" s="227">
        <f t="shared" si="8"/>
        <v>1155.1680000000001</v>
      </c>
      <c r="AO84" s="248">
        <f t="shared" si="4"/>
        <v>0</v>
      </c>
      <c r="AP84" s="250">
        <f t="shared" si="5"/>
        <v>1.512</v>
      </c>
      <c r="AQ84" s="343"/>
      <c r="AR84" s="342" t="s">
        <v>333</v>
      </c>
      <c r="AS84" s="250">
        <f t="shared" si="6"/>
        <v>3</v>
      </c>
      <c r="AT84" s="250">
        <f t="shared" si="7"/>
        <v>0</v>
      </c>
      <c r="AV84" s="346"/>
    </row>
    <row r="85" spans="1:48" s="250" customFormat="1" ht="12.75" x14ac:dyDescent="0.2">
      <c r="A85" s="247" t="s">
        <v>311</v>
      </c>
      <c r="B85" s="88" t="s">
        <v>273</v>
      </c>
      <c r="C85" s="133"/>
      <c r="D85" s="251"/>
      <c r="E85" s="251"/>
      <c r="F85" s="251"/>
      <c r="G85" s="251"/>
      <c r="H85" s="252"/>
      <c r="I85" s="251"/>
      <c r="J85" s="251"/>
      <c r="K85" s="251">
        <v>1</v>
      </c>
      <c r="L85" s="251">
        <v>1</v>
      </c>
      <c r="M85" s="251">
        <v>1</v>
      </c>
      <c r="N85" s="251"/>
      <c r="O85" s="251"/>
      <c r="P85" s="251"/>
      <c r="Q85" s="251"/>
      <c r="R85" s="251"/>
      <c r="S85" s="251"/>
      <c r="T85" s="252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2"/>
      <c r="AG85" s="228">
        <f t="shared" si="1"/>
        <v>63</v>
      </c>
      <c r="AH85" s="261">
        <f t="shared" si="2"/>
        <v>63</v>
      </c>
      <c r="AI85" s="256"/>
      <c r="AJ85" s="256">
        <v>2.4E-2</v>
      </c>
      <c r="AK85" s="256"/>
      <c r="AL85" s="330">
        <f>B134</f>
        <v>916.8</v>
      </c>
      <c r="AM85" s="226">
        <f t="shared" si="3"/>
        <v>0</v>
      </c>
      <c r="AN85" s="227">
        <f t="shared" si="8"/>
        <v>1386.2015999999999</v>
      </c>
      <c r="AO85" s="248">
        <f t="shared" si="4"/>
        <v>0</v>
      </c>
      <c r="AP85" s="250">
        <f t="shared" si="5"/>
        <v>1.512</v>
      </c>
      <c r="AQ85" s="343"/>
      <c r="AR85" s="347">
        <v>0.13</v>
      </c>
      <c r="AS85" s="250">
        <f t="shared" si="6"/>
        <v>3</v>
      </c>
      <c r="AT85" s="250">
        <f t="shared" si="7"/>
        <v>0</v>
      </c>
      <c r="AV85" s="346"/>
    </row>
    <row r="86" spans="1:48" s="250" customFormat="1" ht="12.75" x14ac:dyDescent="0.2">
      <c r="A86" s="247" t="s">
        <v>223</v>
      </c>
      <c r="B86" s="88" t="s">
        <v>267</v>
      </c>
      <c r="C86" s="133"/>
      <c r="D86" s="251"/>
      <c r="E86" s="251"/>
      <c r="F86" s="251"/>
      <c r="G86" s="251"/>
      <c r="H86" s="252"/>
      <c r="I86" s="251"/>
      <c r="J86" s="251"/>
      <c r="K86" s="251"/>
      <c r="L86" s="251">
        <v>1</v>
      </c>
      <c r="M86" s="251">
        <v>1</v>
      </c>
      <c r="N86" s="251"/>
      <c r="O86" s="251"/>
      <c r="P86" s="251"/>
      <c r="Q86" s="251"/>
      <c r="R86" s="251"/>
      <c r="S86" s="251"/>
      <c r="T86" s="252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2"/>
      <c r="AG86" s="228">
        <f t="shared" si="1"/>
        <v>42</v>
      </c>
      <c r="AH86" s="261">
        <f t="shared" si="2"/>
        <v>42</v>
      </c>
      <c r="AI86" s="256"/>
      <c r="AJ86" s="256">
        <v>0.02</v>
      </c>
      <c r="AK86" s="256"/>
      <c r="AL86" s="329">
        <f>B130</f>
        <v>764</v>
      </c>
      <c r="AM86" s="226">
        <f t="shared" si="3"/>
        <v>0</v>
      </c>
      <c r="AN86" s="227">
        <f t="shared" si="8"/>
        <v>641.76</v>
      </c>
      <c r="AO86" s="248">
        <f t="shared" si="4"/>
        <v>0</v>
      </c>
      <c r="AP86" s="250">
        <f t="shared" si="5"/>
        <v>0.84</v>
      </c>
      <c r="AQ86" s="343"/>
      <c r="AR86" s="343">
        <f>AR110*AR85</f>
        <v>17.128020000000006</v>
      </c>
      <c r="AS86" s="250">
        <f t="shared" si="6"/>
        <v>2</v>
      </c>
      <c r="AT86" s="250">
        <f t="shared" si="7"/>
        <v>0</v>
      </c>
      <c r="AV86" s="346"/>
    </row>
    <row r="87" spans="1:48" s="250" customFormat="1" ht="12.75" x14ac:dyDescent="0.2">
      <c r="A87" s="247" t="s">
        <v>223</v>
      </c>
      <c r="B87" s="88" t="s">
        <v>270</v>
      </c>
      <c r="C87" s="133"/>
      <c r="D87" s="251"/>
      <c r="E87" s="251"/>
      <c r="F87" s="251"/>
      <c r="G87" s="251"/>
      <c r="H87" s="252"/>
      <c r="I87" s="251"/>
      <c r="J87" s="251"/>
      <c r="K87" s="251"/>
      <c r="L87" s="251">
        <v>1</v>
      </c>
      <c r="M87" s="251">
        <v>1</v>
      </c>
      <c r="N87" s="251"/>
      <c r="O87" s="251"/>
      <c r="P87" s="251"/>
      <c r="Q87" s="251"/>
      <c r="R87" s="251"/>
      <c r="S87" s="251"/>
      <c r="T87" s="252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2"/>
      <c r="AG87" s="228">
        <f t="shared" si="1"/>
        <v>42</v>
      </c>
      <c r="AH87" s="261">
        <f t="shared" si="2"/>
        <v>42</v>
      </c>
      <c r="AI87" s="256"/>
      <c r="AJ87" s="256">
        <v>0.47</v>
      </c>
      <c r="AK87" s="256"/>
      <c r="AL87" s="329">
        <f>B142</f>
        <v>576</v>
      </c>
      <c r="AM87" s="226">
        <f t="shared" si="3"/>
        <v>0</v>
      </c>
      <c r="AN87" s="227">
        <f t="shared" si="8"/>
        <v>11370.24</v>
      </c>
      <c r="AO87" s="248">
        <f t="shared" si="4"/>
        <v>0</v>
      </c>
      <c r="AP87" s="250">
        <f t="shared" si="5"/>
        <v>19.739999999999998</v>
      </c>
      <c r="AQ87" s="343"/>
      <c r="AR87" s="341"/>
      <c r="AS87" s="250">
        <f t="shared" si="6"/>
        <v>2</v>
      </c>
      <c r="AT87" s="250">
        <f t="shared" si="7"/>
        <v>0</v>
      </c>
      <c r="AV87" s="346"/>
    </row>
    <row r="88" spans="1:48" s="250" customFormat="1" ht="12.75" x14ac:dyDescent="0.2">
      <c r="A88" s="247" t="s">
        <v>308</v>
      </c>
      <c r="B88" s="88" t="s">
        <v>269</v>
      </c>
      <c r="C88" s="133"/>
      <c r="D88" s="251"/>
      <c r="E88" s="251"/>
      <c r="F88" s="251"/>
      <c r="G88" s="251"/>
      <c r="H88" s="252"/>
      <c r="I88" s="251"/>
      <c r="J88" s="251"/>
      <c r="K88" s="251"/>
      <c r="L88" s="251">
        <v>1</v>
      </c>
      <c r="M88" s="251">
        <v>1</v>
      </c>
      <c r="N88" s="251"/>
      <c r="O88" s="251"/>
      <c r="P88" s="251"/>
      <c r="Q88" s="251"/>
      <c r="R88" s="251"/>
      <c r="S88" s="251"/>
      <c r="T88" s="252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2"/>
      <c r="AG88" s="228">
        <f t="shared" si="1"/>
        <v>42</v>
      </c>
      <c r="AH88" s="261">
        <f t="shared" si="2"/>
        <v>42</v>
      </c>
      <c r="AI88" s="256"/>
      <c r="AJ88" s="256">
        <v>0.18</v>
      </c>
      <c r="AK88" s="256"/>
      <c r="AL88" s="329">
        <f>B138</f>
        <v>600</v>
      </c>
      <c r="AM88" s="226">
        <f t="shared" si="3"/>
        <v>0</v>
      </c>
      <c r="AN88" s="227">
        <f t="shared" si="8"/>
        <v>4536</v>
      </c>
      <c r="AO88" s="248">
        <f t="shared" si="4"/>
        <v>0</v>
      </c>
      <c r="AP88" s="250">
        <f t="shared" si="5"/>
        <v>7.56</v>
      </c>
      <c r="AQ88" s="343"/>
      <c r="AR88" s="341"/>
      <c r="AS88" s="250">
        <f t="shared" si="6"/>
        <v>2</v>
      </c>
      <c r="AT88" s="250">
        <f t="shared" si="7"/>
        <v>0</v>
      </c>
      <c r="AV88" s="346"/>
    </row>
    <row r="89" spans="1:48" s="250" customFormat="1" ht="12.75" x14ac:dyDescent="0.2">
      <c r="A89" s="247" t="s">
        <v>312</v>
      </c>
      <c r="B89" s="88" t="s">
        <v>275</v>
      </c>
      <c r="C89" s="133"/>
      <c r="D89" s="251"/>
      <c r="E89" s="251"/>
      <c r="F89" s="251"/>
      <c r="G89" s="251"/>
      <c r="H89" s="252"/>
      <c r="I89" s="251"/>
      <c r="J89" s="251"/>
      <c r="K89" s="251"/>
      <c r="L89" s="251">
        <v>1</v>
      </c>
      <c r="M89" s="251">
        <v>1</v>
      </c>
      <c r="N89" s="251"/>
      <c r="O89" s="251"/>
      <c r="P89" s="251"/>
      <c r="Q89" s="251"/>
      <c r="R89" s="251"/>
      <c r="S89" s="251"/>
      <c r="T89" s="252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2"/>
      <c r="AG89" s="228">
        <f t="shared" si="1"/>
        <v>42</v>
      </c>
      <c r="AH89" s="261">
        <f t="shared" si="2"/>
        <v>42</v>
      </c>
      <c r="AI89" s="256"/>
      <c r="AJ89" s="256">
        <v>0.18</v>
      </c>
      <c r="AK89" s="256"/>
      <c r="AL89" s="330">
        <f>B139</f>
        <v>720</v>
      </c>
      <c r="AM89" s="226">
        <f t="shared" si="3"/>
        <v>0</v>
      </c>
      <c r="AN89" s="227">
        <f t="shared" si="8"/>
        <v>5443.2</v>
      </c>
      <c r="AO89" s="248">
        <f t="shared" si="4"/>
        <v>0</v>
      </c>
      <c r="AP89" s="250">
        <f t="shared" si="5"/>
        <v>7.56</v>
      </c>
      <c r="AQ89" s="343"/>
      <c r="AR89" s="342" t="s">
        <v>330</v>
      </c>
      <c r="AS89" s="250">
        <f t="shared" si="6"/>
        <v>2</v>
      </c>
      <c r="AT89" s="250">
        <f t="shared" si="7"/>
        <v>0</v>
      </c>
      <c r="AV89" s="346"/>
    </row>
    <row r="90" spans="1:48" s="250" customFormat="1" ht="12.75" x14ac:dyDescent="0.2">
      <c r="A90" s="247" t="s">
        <v>223</v>
      </c>
      <c r="B90" s="88" t="s">
        <v>250</v>
      </c>
      <c r="C90" s="133"/>
      <c r="D90" s="251"/>
      <c r="E90" s="251"/>
      <c r="F90" s="251"/>
      <c r="G90" s="251"/>
      <c r="H90" s="252"/>
      <c r="I90" s="251"/>
      <c r="J90" s="251"/>
      <c r="K90" s="251"/>
      <c r="L90" s="251">
        <v>1</v>
      </c>
      <c r="M90" s="251">
        <v>1</v>
      </c>
      <c r="N90" s="251"/>
      <c r="O90" s="251"/>
      <c r="P90" s="251"/>
      <c r="Q90" s="251"/>
      <c r="R90" s="251"/>
      <c r="S90" s="251"/>
      <c r="T90" s="252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2"/>
      <c r="AG90" s="228">
        <f t="shared" si="1"/>
        <v>42</v>
      </c>
      <c r="AH90" s="261">
        <f t="shared" si="2"/>
        <v>42</v>
      </c>
      <c r="AI90" s="256"/>
      <c r="AJ90" s="256">
        <v>2.5000000000000001E-2</v>
      </c>
      <c r="AK90" s="256"/>
      <c r="AL90" s="330">
        <f>B137</f>
        <v>1107.6923076923076</v>
      </c>
      <c r="AM90" s="226">
        <f t="shared" si="3"/>
        <v>0</v>
      </c>
      <c r="AN90" s="227">
        <f t="shared" si="8"/>
        <v>1163.0769230769231</v>
      </c>
      <c r="AO90" s="248">
        <f t="shared" si="4"/>
        <v>0</v>
      </c>
      <c r="AP90" s="250">
        <f t="shared" si="5"/>
        <v>1.05</v>
      </c>
      <c r="AQ90" s="343"/>
      <c r="AR90" s="347">
        <v>0.3</v>
      </c>
      <c r="AS90" s="250">
        <f t="shared" si="6"/>
        <v>2</v>
      </c>
      <c r="AT90" s="250">
        <f t="shared" si="7"/>
        <v>0</v>
      </c>
      <c r="AV90" s="346"/>
    </row>
    <row r="91" spans="1:48" s="250" customFormat="1" ht="12.75" x14ac:dyDescent="0.2">
      <c r="A91" s="247" t="s">
        <v>223</v>
      </c>
      <c r="B91" s="88" t="s">
        <v>252</v>
      </c>
      <c r="C91" s="133"/>
      <c r="D91" s="251"/>
      <c r="E91" s="251"/>
      <c r="F91" s="251"/>
      <c r="G91" s="251"/>
      <c r="H91" s="252"/>
      <c r="I91" s="251"/>
      <c r="J91" s="251"/>
      <c r="K91" s="251"/>
      <c r="L91" s="251">
        <v>1</v>
      </c>
      <c r="M91" s="251">
        <v>1</v>
      </c>
      <c r="N91" s="251"/>
      <c r="O91" s="251"/>
      <c r="P91" s="251"/>
      <c r="Q91" s="251"/>
      <c r="R91" s="251"/>
      <c r="S91" s="251"/>
      <c r="T91" s="252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2"/>
      <c r="AG91" s="228">
        <f t="shared" si="1"/>
        <v>42</v>
      </c>
      <c r="AH91" s="261">
        <f t="shared" si="2"/>
        <v>42</v>
      </c>
      <c r="AI91" s="256"/>
      <c r="AJ91" s="256">
        <v>2.5000000000000001E-2</v>
      </c>
      <c r="AK91" s="256"/>
      <c r="AL91" s="329">
        <f>B140</f>
        <v>600</v>
      </c>
      <c r="AM91" s="226">
        <f t="shared" si="3"/>
        <v>0</v>
      </c>
      <c r="AN91" s="227">
        <f t="shared" si="8"/>
        <v>630</v>
      </c>
      <c r="AO91" s="248">
        <f t="shared" si="4"/>
        <v>0</v>
      </c>
      <c r="AP91" s="250">
        <f t="shared" si="5"/>
        <v>1.05</v>
      </c>
      <c r="AQ91" s="343"/>
      <c r="AR91" s="343">
        <f>AR110*AR90</f>
        <v>39.52620000000001</v>
      </c>
      <c r="AS91" s="250">
        <f t="shared" si="6"/>
        <v>2</v>
      </c>
      <c r="AT91" s="250">
        <f t="shared" si="7"/>
        <v>0</v>
      </c>
      <c r="AV91" s="346"/>
    </row>
    <row r="92" spans="1:48" s="250" customFormat="1" ht="12.75" x14ac:dyDescent="0.2">
      <c r="A92" s="247" t="s">
        <v>223</v>
      </c>
      <c r="B92" s="88" t="s">
        <v>271</v>
      </c>
      <c r="C92" s="133"/>
      <c r="D92" s="251"/>
      <c r="E92" s="251"/>
      <c r="F92" s="251"/>
      <c r="G92" s="251"/>
      <c r="H92" s="252"/>
      <c r="I92" s="251"/>
      <c r="J92" s="251"/>
      <c r="K92" s="251"/>
      <c r="L92" s="251">
        <v>1</v>
      </c>
      <c r="M92" s="251">
        <v>1</v>
      </c>
      <c r="N92" s="251"/>
      <c r="O92" s="251"/>
      <c r="P92" s="251"/>
      <c r="Q92" s="251"/>
      <c r="R92" s="251"/>
      <c r="S92" s="251"/>
      <c r="T92" s="252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2"/>
      <c r="AG92" s="228">
        <f t="shared" si="1"/>
        <v>42</v>
      </c>
      <c r="AH92" s="261">
        <f t="shared" si="2"/>
        <v>42</v>
      </c>
      <c r="AI92" s="256"/>
      <c r="AJ92" s="256">
        <v>0.05</v>
      </c>
      <c r="AK92" s="256"/>
      <c r="AL92" s="329">
        <f>B141</f>
        <v>704</v>
      </c>
      <c r="AM92" s="226">
        <f t="shared" si="3"/>
        <v>0</v>
      </c>
      <c r="AN92" s="227">
        <f t="shared" si="8"/>
        <v>1478.4</v>
      </c>
      <c r="AO92" s="248">
        <f t="shared" si="4"/>
        <v>0</v>
      </c>
      <c r="AP92" s="250">
        <f t="shared" si="5"/>
        <v>2.1</v>
      </c>
      <c r="AQ92" s="343"/>
      <c r="AR92" s="341"/>
      <c r="AS92" s="250">
        <f t="shared" si="6"/>
        <v>2</v>
      </c>
      <c r="AT92" s="250">
        <f t="shared" si="7"/>
        <v>0</v>
      </c>
      <c r="AV92" s="346"/>
    </row>
    <row r="93" spans="1:48" s="250" customFormat="1" ht="12.75" x14ac:dyDescent="0.2">
      <c r="A93" s="247" t="s">
        <v>308</v>
      </c>
      <c r="B93" s="88" t="s">
        <v>268</v>
      </c>
      <c r="C93" s="133"/>
      <c r="D93" s="251"/>
      <c r="E93" s="251"/>
      <c r="F93" s="251"/>
      <c r="G93" s="251"/>
      <c r="H93" s="252"/>
      <c r="I93" s="251"/>
      <c r="J93" s="251"/>
      <c r="K93" s="251"/>
      <c r="L93" s="251">
        <v>1</v>
      </c>
      <c r="M93" s="251">
        <v>1</v>
      </c>
      <c r="N93" s="251"/>
      <c r="O93" s="251"/>
      <c r="P93" s="251"/>
      <c r="Q93" s="251"/>
      <c r="R93" s="251"/>
      <c r="S93" s="251"/>
      <c r="T93" s="252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2"/>
      <c r="AG93" s="228">
        <f t="shared" si="1"/>
        <v>42</v>
      </c>
      <c r="AH93" s="261">
        <f t="shared" si="2"/>
        <v>42</v>
      </c>
      <c r="AI93" s="256"/>
      <c r="AJ93" s="256">
        <v>2.4E-2</v>
      </c>
      <c r="AK93" s="256"/>
      <c r="AL93" s="329">
        <f>B133</f>
        <v>764</v>
      </c>
      <c r="AM93" s="226">
        <f t="shared" si="3"/>
        <v>0</v>
      </c>
      <c r="AN93" s="227">
        <f t="shared" si="8"/>
        <v>770.11199999999997</v>
      </c>
      <c r="AO93" s="248">
        <f t="shared" si="4"/>
        <v>0</v>
      </c>
      <c r="AP93" s="250">
        <f t="shared" si="5"/>
        <v>1.008</v>
      </c>
      <c r="AQ93" s="343"/>
      <c r="AR93" s="341"/>
      <c r="AS93" s="250">
        <f t="shared" si="6"/>
        <v>2</v>
      </c>
      <c r="AT93" s="250">
        <f t="shared" si="7"/>
        <v>0</v>
      </c>
      <c r="AV93" s="346"/>
    </row>
    <row r="94" spans="1:48" s="250" customFormat="1" ht="12.75" x14ac:dyDescent="0.2">
      <c r="A94" s="247" t="s">
        <v>312</v>
      </c>
      <c r="B94" s="88" t="s">
        <v>273</v>
      </c>
      <c r="C94" s="133"/>
      <c r="D94" s="251"/>
      <c r="E94" s="251"/>
      <c r="F94" s="251"/>
      <c r="G94" s="251"/>
      <c r="H94" s="252"/>
      <c r="I94" s="251"/>
      <c r="J94" s="251"/>
      <c r="K94" s="251"/>
      <c r="L94" s="251">
        <v>1</v>
      </c>
      <c r="M94" s="251">
        <v>1</v>
      </c>
      <c r="N94" s="251"/>
      <c r="O94" s="251"/>
      <c r="P94" s="251"/>
      <c r="Q94" s="251"/>
      <c r="R94" s="251"/>
      <c r="S94" s="251"/>
      <c r="T94" s="252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2"/>
      <c r="AG94" s="228">
        <f t="shared" si="1"/>
        <v>42</v>
      </c>
      <c r="AH94" s="261">
        <f t="shared" si="2"/>
        <v>42</v>
      </c>
      <c r="AI94" s="256"/>
      <c r="AJ94" s="256">
        <v>2.4E-2</v>
      </c>
      <c r="AK94" s="256"/>
      <c r="AL94" s="330">
        <f>B134</f>
        <v>916.8</v>
      </c>
      <c r="AM94" s="226">
        <f t="shared" si="3"/>
        <v>0</v>
      </c>
      <c r="AN94" s="227">
        <f t="shared" si="8"/>
        <v>924.13439999999991</v>
      </c>
      <c r="AO94" s="248">
        <f t="shared" si="4"/>
        <v>0</v>
      </c>
      <c r="AP94" s="250">
        <f t="shared" si="5"/>
        <v>1.008</v>
      </c>
      <c r="AQ94" s="343"/>
      <c r="AR94" s="342" t="s">
        <v>299</v>
      </c>
      <c r="AS94" s="250">
        <f t="shared" si="6"/>
        <v>2</v>
      </c>
      <c r="AT94" s="250">
        <f t="shared" si="7"/>
        <v>0</v>
      </c>
      <c r="AV94" s="346"/>
    </row>
    <row r="95" spans="1:48" s="250" customFormat="1" ht="12.75" x14ac:dyDescent="0.2">
      <c r="A95" s="247" t="s">
        <v>222</v>
      </c>
      <c r="B95" s="88" t="s">
        <v>267</v>
      </c>
      <c r="C95" s="133"/>
      <c r="D95" s="251"/>
      <c r="E95" s="251"/>
      <c r="F95" s="251"/>
      <c r="G95" s="251"/>
      <c r="H95" s="252"/>
      <c r="I95" s="251"/>
      <c r="J95" s="251"/>
      <c r="K95" s="251"/>
      <c r="L95" s="251"/>
      <c r="M95" s="251"/>
      <c r="N95" s="251">
        <v>1</v>
      </c>
      <c r="O95" s="251"/>
      <c r="P95" s="251"/>
      <c r="Q95" s="251"/>
      <c r="R95" s="251"/>
      <c r="S95" s="251"/>
      <c r="T95" s="252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2"/>
      <c r="AG95" s="228">
        <f t="shared" si="1"/>
        <v>21</v>
      </c>
      <c r="AH95" s="261">
        <f t="shared" si="2"/>
        <v>21</v>
      </c>
      <c r="AI95" s="256"/>
      <c r="AJ95" s="256">
        <v>0.02</v>
      </c>
      <c r="AK95" s="256"/>
      <c r="AL95" s="329">
        <f>B130</f>
        <v>764</v>
      </c>
      <c r="AM95" s="226">
        <f t="shared" si="3"/>
        <v>0</v>
      </c>
      <c r="AN95" s="227">
        <f t="shared" si="8"/>
        <v>320.88</v>
      </c>
      <c r="AO95" s="248">
        <f t="shared" si="4"/>
        <v>0</v>
      </c>
      <c r="AP95" s="250">
        <f t="shared" si="5"/>
        <v>0.42</v>
      </c>
      <c r="AQ95" s="343"/>
      <c r="AR95" s="347">
        <v>0.14000000000000001</v>
      </c>
      <c r="AS95" s="250">
        <f t="shared" si="6"/>
        <v>1</v>
      </c>
      <c r="AT95" s="250">
        <f t="shared" si="7"/>
        <v>0</v>
      </c>
      <c r="AV95" s="346"/>
    </row>
    <row r="96" spans="1:48" s="250" customFormat="1" ht="12.75" x14ac:dyDescent="0.2">
      <c r="A96" s="247" t="s">
        <v>222</v>
      </c>
      <c r="B96" s="88" t="s">
        <v>271</v>
      </c>
      <c r="C96" s="133"/>
      <c r="D96" s="251"/>
      <c r="E96" s="251"/>
      <c r="F96" s="251"/>
      <c r="G96" s="251"/>
      <c r="H96" s="252"/>
      <c r="I96" s="251"/>
      <c r="J96" s="251"/>
      <c r="K96" s="251"/>
      <c r="L96" s="251"/>
      <c r="M96" s="251"/>
      <c r="N96" s="251">
        <v>1</v>
      </c>
      <c r="O96" s="251"/>
      <c r="P96" s="251"/>
      <c r="Q96" s="251"/>
      <c r="R96" s="251"/>
      <c r="S96" s="251"/>
      <c r="T96" s="252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2"/>
      <c r="AG96" s="228">
        <f t="shared" si="1"/>
        <v>21</v>
      </c>
      <c r="AH96" s="261">
        <f t="shared" si="2"/>
        <v>21</v>
      </c>
      <c r="AI96" s="256"/>
      <c r="AJ96" s="256">
        <v>0.23</v>
      </c>
      <c r="AK96" s="256"/>
      <c r="AL96" s="329">
        <f>B141</f>
        <v>704</v>
      </c>
      <c r="AM96" s="226">
        <f t="shared" si="3"/>
        <v>0</v>
      </c>
      <c r="AN96" s="227">
        <f t="shared" si="8"/>
        <v>3400.32</v>
      </c>
      <c r="AO96" s="248">
        <f t="shared" si="4"/>
        <v>0</v>
      </c>
      <c r="AP96" s="250">
        <f t="shared" si="5"/>
        <v>4.83</v>
      </c>
      <c r="AQ96" s="343"/>
      <c r="AR96" s="343">
        <f>AR110*AR95</f>
        <v>18.445560000000008</v>
      </c>
      <c r="AS96" s="250">
        <f t="shared" si="6"/>
        <v>1</v>
      </c>
      <c r="AT96" s="250">
        <f t="shared" si="7"/>
        <v>0</v>
      </c>
      <c r="AV96" s="346"/>
    </row>
    <row r="97" spans="1:50" s="250" customFormat="1" ht="12.75" x14ac:dyDescent="0.2">
      <c r="A97" s="247" t="s">
        <v>222</v>
      </c>
      <c r="B97" s="88" t="s">
        <v>250</v>
      </c>
      <c r="C97" s="133"/>
      <c r="D97" s="251"/>
      <c r="E97" s="251"/>
      <c r="F97" s="251"/>
      <c r="G97" s="251"/>
      <c r="H97" s="252"/>
      <c r="I97" s="251"/>
      <c r="J97" s="251"/>
      <c r="K97" s="251"/>
      <c r="L97" s="251"/>
      <c r="M97" s="251"/>
      <c r="N97" s="251">
        <v>1</v>
      </c>
      <c r="O97" s="251"/>
      <c r="P97" s="251"/>
      <c r="Q97" s="251"/>
      <c r="R97" s="251"/>
      <c r="S97" s="251"/>
      <c r="T97" s="252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2"/>
      <c r="AG97" s="228">
        <f t="shared" si="1"/>
        <v>21</v>
      </c>
      <c r="AH97" s="261">
        <f t="shared" si="2"/>
        <v>21</v>
      </c>
      <c r="AI97" s="256"/>
      <c r="AJ97" s="256">
        <v>0.05</v>
      </c>
      <c r="AK97" s="256"/>
      <c r="AL97" s="330">
        <f>B137</f>
        <v>1107.6923076923076</v>
      </c>
      <c r="AM97" s="226">
        <f t="shared" si="3"/>
        <v>0</v>
      </c>
      <c r="AN97" s="227">
        <f t="shared" si="8"/>
        <v>1163.0769230769231</v>
      </c>
      <c r="AO97" s="248">
        <f t="shared" si="4"/>
        <v>0</v>
      </c>
      <c r="AP97" s="250">
        <f t="shared" si="5"/>
        <v>1.05</v>
      </c>
      <c r="AQ97" s="343"/>
      <c r="AR97" s="341"/>
      <c r="AS97" s="250">
        <f t="shared" si="6"/>
        <v>1</v>
      </c>
      <c r="AT97" s="250">
        <f t="shared" si="7"/>
        <v>0</v>
      </c>
      <c r="AV97" s="346"/>
    </row>
    <row r="98" spans="1:50" s="250" customFormat="1" ht="12.75" x14ac:dyDescent="0.2">
      <c r="A98" s="247" t="s">
        <v>309</v>
      </c>
      <c r="B98" s="88" t="s">
        <v>268</v>
      </c>
      <c r="C98" s="133"/>
      <c r="D98" s="251"/>
      <c r="E98" s="251"/>
      <c r="F98" s="251"/>
      <c r="G98" s="251"/>
      <c r="H98" s="252"/>
      <c r="I98" s="251"/>
      <c r="J98" s="251"/>
      <c r="K98" s="251"/>
      <c r="L98" s="251"/>
      <c r="M98" s="251"/>
      <c r="N98" s="251">
        <v>1</v>
      </c>
      <c r="O98" s="251"/>
      <c r="P98" s="251"/>
      <c r="Q98" s="251"/>
      <c r="R98" s="251"/>
      <c r="S98" s="251"/>
      <c r="T98" s="252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2"/>
      <c r="AG98" s="228">
        <f t="shared" si="1"/>
        <v>21</v>
      </c>
      <c r="AH98" s="261">
        <f t="shared" si="2"/>
        <v>21</v>
      </c>
      <c r="AI98" s="256"/>
      <c r="AJ98" s="256">
        <v>2.4E-2</v>
      </c>
      <c r="AK98" s="256"/>
      <c r="AL98" s="329">
        <f>B133</f>
        <v>764</v>
      </c>
      <c r="AM98" s="226">
        <f t="shared" si="3"/>
        <v>0</v>
      </c>
      <c r="AN98" s="227">
        <f t="shared" si="8"/>
        <v>385.05599999999998</v>
      </c>
      <c r="AO98" s="248">
        <f t="shared" si="4"/>
        <v>0</v>
      </c>
      <c r="AP98" s="250">
        <f t="shared" si="5"/>
        <v>0.504</v>
      </c>
      <c r="AQ98" s="343"/>
      <c r="AR98" s="341"/>
      <c r="AS98" s="250">
        <f t="shared" si="6"/>
        <v>1</v>
      </c>
      <c r="AT98" s="250">
        <f t="shared" si="7"/>
        <v>0</v>
      </c>
      <c r="AV98" s="346"/>
    </row>
    <row r="99" spans="1:50" s="250" customFormat="1" ht="12.75" x14ac:dyDescent="0.2">
      <c r="A99" s="247" t="s">
        <v>222</v>
      </c>
      <c r="B99" s="88" t="s">
        <v>273</v>
      </c>
      <c r="C99" s="133"/>
      <c r="D99" s="251"/>
      <c r="E99" s="251"/>
      <c r="F99" s="251"/>
      <c r="G99" s="251"/>
      <c r="H99" s="252"/>
      <c r="I99" s="251"/>
      <c r="J99" s="251"/>
      <c r="K99" s="251"/>
      <c r="L99" s="251"/>
      <c r="M99" s="251"/>
      <c r="N99" s="251">
        <v>1</v>
      </c>
      <c r="O99" s="251"/>
      <c r="P99" s="251"/>
      <c r="Q99" s="251"/>
      <c r="R99" s="251"/>
      <c r="S99" s="251"/>
      <c r="T99" s="252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2"/>
      <c r="AG99" s="228">
        <f t="shared" si="1"/>
        <v>21</v>
      </c>
      <c r="AH99" s="261">
        <f t="shared" si="2"/>
        <v>21</v>
      </c>
      <c r="AI99" s="256"/>
      <c r="AJ99" s="256">
        <v>2.4E-2</v>
      </c>
      <c r="AK99" s="256"/>
      <c r="AL99" s="330">
        <f>B134</f>
        <v>916.8</v>
      </c>
      <c r="AM99" s="226">
        <f t="shared" si="3"/>
        <v>0</v>
      </c>
      <c r="AN99" s="227">
        <f t="shared" si="8"/>
        <v>462.06719999999996</v>
      </c>
      <c r="AO99" s="248">
        <f t="shared" si="4"/>
        <v>0</v>
      </c>
      <c r="AP99" s="250">
        <f t="shared" si="5"/>
        <v>0.504</v>
      </c>
      <c r="AQ99" s="343"/>
      <c r="AR99" s="342" t="s">
        <v>300</v>
      </c>
      <c r="AS99" s="250">
        <f t="shared" si="6"/>
        <v>1</v>
      </c>
      <c r="AT99" s="250">
        <f t="shared" si="7"/>
        <v>0</v>
      </c>
      <c r="AV99" s="346"/>
    </row>
    <row r="100" spans="1:50" s="250" customFormat="1" ht="12.75" x14ac:dyDescent="0.2">
      <c r="A100" s="247" t="s">
        <v>230</v>
      </c>
      <c r="B100" s="88" t="s">
        <v>272</v>
      </c>
      <c r="C100" s="133"/>
      <c r="D100" s="251"/>
      <c r="E100" s="251"/>
      <c r="F100" s="251"/>
      <c r="G100" s="251"/>
      <c r="H100" s="252"/>
      <c r="I100" s="251"/>
      <c r="J100" s="251"/>
      <c r="K100" s="251"/>
      <c r="L100" s="251"/>
      <c r="M100" s="251"/>
      <c r="N100" s="251"/>
      <c r="O100" s="251">
        <v>1</v>
      </c>
      <c r="P100" s="251"/>
      <c r="Q100" s="251"/>
      <c r="R100" s="251"/>
      <c r="S100" s="251"/>
      <c r="T100" s="252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2"/>
      <c r="AG100" s="228">
        <f t="shared" si="1"/>
        <v>21</v>
      </c>
      <c r="AH100" s="261">
        <f t="shared" si="2"/>
        <v>21</v>
      </c>
      <c r="AI100" s="256"/>
      <c r="AJ100" s="256">
        <v>2.5000000000000001E-2</v>
      </c>
      <c r="AK100" s="256"/>
      <c r="AL100" s="330">
        <f>B132</f>
        <v>792</v>
      </c>
      <c r="AM100" s="226">
        <f t="shared" si="3"/>
        <v>0</v>
      </c>
      <c r="AN100" s="227">
        <f t="shared" si="8"/>
        <v>415.8</v>
      </c>
      <c r="AO100" s="248">
        <f t="shared" si="4"/>
        <v>0</v>
      </c>
      <c r="AP100" s="250">
        <f t="shared" si="5"/>
        <v>0.52500000000000002</v>
      </c>
      <c r="AQ100" s="343"/>
      <c r="AR100" s="347">
        <v>0.04</v>
      </c>
      <c r="AS100" s="250">
        <f t="shared" si="6"/>
        <v>1</v>
      </c>
      <c r="AT100" s="250">
        <f t="shared" si="7"/>
        <v>0</v>
      </c>
      <c r="AV100" s="346"/>
    </row>
    <row r="101" spans="1:50" s="250" customFormat="1" ht="12.75" x14ac:dyDescent="0.2">
      <c r="A101" s="247" t="s">
        <v>230</v>
      </c>
      <c r="B101" s="88" t="s">
        <v>275</v>
      </c>
      <c r="C101" s="133"/>
      <c r="D101" s="251"/>
      <c r="E101" s="251"/>
      <c r="F101" s="251"/>
      <c r="G101" s="251"/>
      <c r="H101" s="252"/>
      <c r="I101" s="251"/>
      <c r="J101" s="251"/>
      <c r="K101" s="251"/>
      <c r="L101" s="251"/>
      <c r="M101" s="251"/>
      <c r="N101" s="251"/>
      <c r="O101" s="251">
        <v>1</v>
      </c>
      <c r="P101" s="251"/>
      <c r="Q101" s="251"/>
      <c r="R101" s="251"/>
      <c r="S101" s="251"/>
      <c r="T101" s="252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2"/>
      <c r="AG101" s="228">
        <f t="shared" si="1"/>
        <v>21</v>
      </c>
      <c r="AH101" s="261">
        <f t="shared" si="2"/>
        <v>21</v>
      </c>
      <c r="AI101" s="256"/>
      <c r="AJ101" s="256">
        <v>2.5000000000000001E-2</v>
      </c>
      <c r="AK101" s="256"/>
      <c r="AL101" s="330">
        <f>B139</f>
        <v>720</v>
      </c>
      <c r="AM101" s="226">
        <f t="shared" si="3"/>
        <v>0</v>
      </c>
      <c r="AN101" s="227">
        <f t="shared" si="8"/>
        <v>378</v>
      </c>
      <c r="AO101" s="248">
        <f t="shared" si="4"/>
        <v>0</v>
      </c>
      <c r="AP101" s="250">
        <f t="shared" si="5"/>
        <v>0.52500000000000002</v>
      </c>
      <c r="AQ101" s="359">
        <f>SUM(AP100:AP109)</f>
        <v>5.2500000000000009</v>
      </c>
      <c r="AR101" s="343">
        <f>AR110*AR100</f>
        <v>5.2701600000000024</v>
      </c>
      <c r="AS101" s="250">
        <f t="shared" si="6"/>
        <v>1</v>
      </c>
      <c r="AT101" s="250">
        <f t="shared" si="7"/>
        <v>0</v>
      </c>
      <c r="AV101" s="346"/>
    </row>
    <row r="102" spans="1:50" s="250" customFormat="1" ht="12.75" x14ac:dyDescent="0.2">
      <c r="A102" s="247" t="s">
        <v>231</v>
      </c>
      <c r="B102" s="88" t="s">
        <v>272</v>
      </c>
      <c r="C102" s="133"/>
      <c r="D102" s="251"/>
      <c r="E102" s="251"/>
      <c r="F102" s="251"/>
      <c r="G102" s="251"/>
      <c r="H102" s="252"/>
      <c r="I102" s="251"/>
      <c r="J102" s="251"/>
      <c r="K102" s="251"/>
      <c r="L102" s="251"/>
      <c r="M102" s="251"/>
      <c r="N102" s="251"/>
      <c r="O102" s="251"/>
      <c r="P102" s="251"/>
      <c r="Q102" s="251">
        <v>1</v>
      </c>
      <c r="R102" s="251"/>
      <c r="S102" s="251"/>
      <c r="T102" s="252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2"/>
      <c r="AG102" s="228">
        <f t="shared" si="1"/>
        <v>21</v>
      </c>
      <c r="AH102" s="261">
        <f t="shared" si="2"/>
        <v>21</v>
      </c>
      <c r="AI102" s="256"/>
      <c r="AJ102" s="256">
        <v>2.5000000000000001E-2</v>
      </c>
      <c r="AK102" s="256"/>
      <c r="AL102" s="330">
        <f>B132</f>
        <v>792</v>
      </c>
      <c r="AM102" s="226">
        <f t="shared" si="3"/>
        <v>0</v>
      </c>
      <c r="AN102" s="227">
        <f t="shared" si="8"/>
        <v>415.8</v>
      </c>
      <c r="AO102" s="248">
        <f t="shared" si="4"/>
        <v>0</v>
      </c>
      <c r="AP102" s="250">
        <f t="shared" si="5"/>
        <v>0.52500000000000002</v>
      </c>
      <c r="AQ102" s="343"/>
      <c r="AR102" s="341"/>
      <c r="AS102" s="250">
        <f t="shared" si="6"/>
        <v>1</v>
      </c>
      <c r="AT102" s="250">
        <f t="shared" si="7"/>
        <v>0</v>
      </c>
      <c r="AV102" s="346"/>
    </row>
    <row r="103" spans="1:50" s="250" customFormat="1" ht="12.75" x14ac:dyDescent="0.2">
      <c r="A103" s="247" t="s">
        <v>231</v>
      </c>
      <c r="B103" s="88" t="s">
        <v>275</v>
      </c>
      <c r="C103" s="133"/>
      <c r="D103" s="251"/>
      <c r="E103" s="251"/>
      <c r="F103" s="251"/>
      <c r="G103" s="251"/>
      <c r="H103" s="252"/>
      <c r="I103" s="251"/>
      <c r="J103" s="251"/>
      <c r="K103" s="251"/>
      <c r="L103" s="251"/>
      <c r="M103" s="251"/>
      <c r="N103" s="251"/>
      <c r="O103" s="251"/>
      <c r="P103" s="251"/>
      <c r="Q103" s="251">
        <v>1</v>
      </c>
      <c r="R103" s="251"/>
      <c r="S103" s="251"/>
      <c r="T103" s="252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2"/>
      <c r="AG103" s="228">
        <f t="shared" si="1"/>
        <v>21</v>
      </c>
      <c r="AH103" s="261">
        <f t="shared" si="2"/>
        <v>21</v>
      </c>
      <c r="AI103" s="256"/>
      <c r="AJ103" s="256">
        <v>2.5000000000000001E-2</v>
      </c>
      <c r="AK103" s="256"/>
      <c r="AL103" s="330">
        <f>B139</f>
        <v>720</v>
      </c>
      <c r="AM103" s="226">
        <f t="shared" si="3"/>
        <v>0</v>
      </c>
      <c r="AN103" s="227">
        <f t="shared" si="8"/>
        <v>378</v>
      </c>
      <c r="AO103" s="248">
        <f t="shared" si="4"/>
        <v>0</v>
      </c>
      <c r="AP103" s="250">
        <f t="shared" si="5"/>
        <v>0.52500000000000002</v>
      </c>
      <c r="AQ103" s="343"/>
      <c r="AR103" s="342" t="s">
        <v>301</v>
      </c>
      <c r="AS103" s="250">
        <f t="shared" si="6"/>
        <v>1</v>
      </c>
      <c r="AT103" s="250">
        <f t="shared" si="7"/>
        <v>0</v>
      </c>
      <c r="AV103" s="346"/>
    </row>
    <row r="104" spans="1:50" s="250" customFormat="1" ht="12.75" x14ac:dyDescent="0.2">
      <c r="A104" s="247" t="s">
        <v>232</v>
      </c>
      <c r="B104" s="88" t="s">
        <v>272</v>
      </c>
      <c r="C104" s="133"/>
      <c r="D104" s="251"/>
      <c r="E104" s="251"/>
      <c r="F104" s="251"/>
      <c r="G104" s="251"/>
      <c r="H104" s="252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2">
        <v>1</v>
      </c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2"/>
      <c r="AG104" s="228">
        <f t="shared" si="1"/>
        <v>21</v>
      </c>
      <c r="AH104" s="261">
        <f t="shared" si="2"/>
        <v>21</v>
      </c>
      <c r="AI104" s="256"/>
      <c r="AJ104" s="256">
        <v>2.5000000000000001E-2</v>
      </c>
      <c r="AK104" s="256"/>
      <c r="AL104" s="330">
        <f>B132</f>
        <v>792</v>
      </c>
      <c r="AM104" s="226">
        <f t="shared" si="3"/>
        <v>0</v>
      </c>
      <c r="AN104" s="227">
        <f t="shared" si="8"/>
        <v>415.8</v>
      </c>
      <c r="AO104" s="248">
        <f t="shared" si="4"/>
        <v>0</v>
      </c>
      <c r="AP104" s="250">
        <f t="shared" si="5"/>
        <v>0.52500000000000002</v>
      </c>
      <c r="AQ104" s="343"/>
      <c r="AR104" s="347">
        <v>0.01</v>
      </c>
      <c r="AS104" s="250">
        <f t="shared" si="6"/>
        <v>1</v>
      </c>
      <c r="AT104" s="250">
        <f t="shared" si="7"/>
        <v>0</v>
      </c>
      <c r="AV104" s="346"/>
    </row>
    <row r="105" spans="1:50" s="250" customFormat="1" ht="12.75" x14ac:dyDescent="0.2">
      <c r="A105" s="247" t="s">
        <v>232</v>
      </c>
      <c r="B105" s="88" t="s">
        <v>275</v>
      </c>
      <c r="C105" s="133"/>
      <c r="D105" s="251"/>
      <c r="E105" s="251"/>
      <c r="F105" s="251"/>
      <c r="G105" s="251"/>
      <c r="H105" s="252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2">
        <v>1</v>
      </c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2"/>
      <c r="AG105" s="228">
        <f t="shared" si="1"/>
        <v>21</v>
      </c>
      <c r="AH105" s="261">
        <f t="shared" si="2"/>
        <v>21</v>
      </c>
      <c r="AI105" s="256"/>
      <c r="AJ105" s="256">
        <v>2.5000000000000001E-2</v>
      </c>
      <c r="AK105" s="256"/>
      <c r="AL105" s="330">
        <f>B139</f>
        <v>720</v>
      </c>
      <c r="AM105" s="226">
        <f t="shared" si="3"/>
        <v>0</v>
      </c>
      <c r="AN105" s="227">
        <f t="shared" si="8"/>
        <v>378</v>
      </c>
      <c r="AO105" s="248">
        <f t="shared" si="4"/>
        <v>0</v>
      </c>
      <c r="AP105" s="250">
        <f t="shared" si="5"/>
        <v>0.52500000000000002</v>
      </c>
      <c r="AQ105" s="343"/>
      <c r="AR105" s="343">
        <f>AR110*AR104</f>
        <v>1.3175400000000006</v>
      </c>
      <c r="AS105" s="250">
        <f t="shared" si="6"/>
        <v>1</v>
      </c>
      <c r="AT105" s="250">
        <f t="shared" si="7"/>
        <v>0</v>
      </c>
      <c r="AV105" s="346"/>
    </row>
    <row r="106" spans="1:50" s="250" customFormat="1" ht="12.75" x14ac:dyDescent="0.2">
      <c r="A106" s="247" t="s">
        <v>233</v>
      </c>
      <c r="B106" s="88" t="s">
        <v>272</v>
      </c>
      <c r="C106" s="133"/>
      <c r="D106" s="251"/>
      <c r="E106" s="251"/>
      <c r="F106" s="251"/>
      <c r="G106" s="251"/>
      <c r="H106" s="252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2"/>
      <c r="U106" s="251"/>
      <c r="V106" s="251"/>
      <c r="W106" s="251">
        <v>1</v>
      </c>
      <c r="X106" s="251"/>
      <c r="Y106" s="251"/>
      <c r="Z106" s="251"/>
      <c r="AA106" s="251"/>
      <c r="AB106" s="251"/>
      <c r="AC106" s="251"/>
      <c r="AD106" s="251"/>
      <c r="AE106" s="251"/>
      <c r="AF106" s="252"/>
      <c r="AG106" s="228">
        <f t="shared" si="1"/>
        <v>21</v>
      </c>
      <c r="AH106" s="261">
        <f t="shared" si="2"/>
        <v>21</v>
      </c>
      <c r="AI106" s="256"/>
      <c r="AJ106" s="256">
        <v>2.5000000000000001E-2</v>
      </c>
      <c r="AK106" s="256"/>
      <c r="AL106" s="330">
        <f>B132</f>
        <v>792</v>
      </c>
      <c r="AM106" s="226">
        <f t="shared" si="3"/>
        <v>0</v>
      </c>
      <c r="AN106" s="227">
        <f t="shared" si="8"/>
        <v>415.8</v>
      </c>
      <c r="AO106" s="248">
        <f t="shared" si="4"/>
        <v>0</v>
      </c>
      <c r="AP106" s="250">
        <f t="shared" si="5"/>
        <v>0.52500000000000002</v>
      </c>
      <c r="AQ106" s="343"/>
      <c r="AR106" s="358">
        <f>AR70+AR75+AR80+AR85+AR90+AR95+AR100+AR104</f>
        <v>1</v>
      </c>
      <c r="AS106" s="250">
        <f t="shared" si="6"/>
        <v>0</v>
      </c>
      <c r="AT106" s="250">
        <f t="shared" si="7"/>
        <v>1</v>
      </c>
      <c r="AV106" s="346"/>
    </row>
    <row r="107" spans="1:50" s="250" customFormat="1" ht="12.75" x14ac:dyDescent="0.2">
      <c r="A107" s="247" t="s">
        <v>233</v>
      </c>
      <c r="B107" s="88" t="s">
        <v>275</v>
      </c>
      <c r="C107" s="133"/>
      <c r="D107" s="251"/>
      <c r="E107" s="251"/>
      <c r="F107" s="251"/>
      <c r="G107" s="251"/>
      <c r="H107" s="252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2"/>
      <c r="U107" s="251"/>
      <c r="V107" s="251"/>
      <c r="W107" s="251">
        <v>1</v>
      </c>
      <c r="X107" s="251"/>
      <c r="Y107" s="251"/>
      <c r="Z107" s="251"/>
      <c r="AA107" s="251"/>
      <c r="AB107" s="251"/>
      <c r="AC107" s="251"/>
      <c r="AD107" s="251"/>
      <c r="AE107" s="251"/>
      <c r="AF107" s="252"/>
      <c r="AG107" s="228">
        <f t="shared" si="1"/>
        <v>21</v>
      </c>
      <c r="AH107" s="261">
        <f t="shared" si="2"/>
        <v>21</v>
      </c>
      <c r="AI107" s="256"/>
      <c r="AJ107" s="256">
        <v>2.5000000000000001E-2</v>
      </c>
      <c r="AK107" s="256"/>
      <c r="AL107" s="330">
        <f>B139</f>
        <v>720</v>
      </c>
      <c r="AM107" s="226">
        <f t="shared" si="3"/>
        <v>0</v>
      </c>
      <c r="AN107" s="227">
        <f t="shared" si="8"/>
        <v>378</v>
      </c>
      <c r="AO107" s="248">
        <f t="shared" si="4"/>
        <v>0</v>
      </c>
      <c r="AP107" s="250">
        <f t="shared" si="5"/>
        <v>0.52500000000000002</v>
      </c>
      <c r="AQ107" s="343"/>
      <c r="AR107" s="354"/>
      <c r="AS107" s="250">
        <f t="shared" si="6"/>
        <v>0</v>
      </c>
      <c r="AT107" s="250">
        <f t="shared" si="7"/>
        <v>1</v>
      </c>
      <c r="AV107" s="346"/>
    </row>
    <row r="108" spans="1:50" s="250" customFormat="1" ht="12.75" x14ac:dyDescent="0.2">
      <c r="A108" s="247" t="s">
        <v>234</v>
      </c>
      <c r="B108" s="88" t="s">
        <v>272</v>
      </c>
      <c r="C108" s="133"/>
      <c r="D108" s="251"/>
      <c r="E108" s="251"/>
      <c r="F108" s="251"/>
      <c r="G108" s="251"/>
      <c r="H108" s="252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2"/>
      <c r="U108" s="251"/>
      <c r="V108" s="251"/>
      <c r="W108" s="251"/>
      <c r="X108" s="251"/>
      <c r="Y108" s="251"/>
      <c r="Z108" s="251">
        <v>1</v>
      </c>
      <c r="AA108" s="251"/>
      <c r="AB108" s="251"/>
      <c r="AC108" s="251"/>
      <c r="AD108" s="251"/>
      <c r="AE108" s="251"/>
      <c r="AF108" s="252"/>
      <c r="AG108" s="228">
        <f t="shared" si="1"/>
        <v>21</v>
      </c>
      <c r="AH108" s="261">
        <f t="shared" si="2"/>
        <v>21</v>
      </c>
      <c r="AI108" s="256"/>
      <c r="AJ108" s="256">
        <v>2.5000000000000001E-2</v>
      </c>
      <c r="AK108" s="256"/>
      <c r="AL108" s="330">
        <f>B132</f>
        <v>792</v>
      </c>
      <c r="AM108" s="226">
        <f t="shared" si="3"/>
        <v>0</v>
      </c>
      <c r="AN108" s="227">
        <f t="shared" si="8"/>
        <v>415.8</v>
      </c>
      <c r="AO108" s="248">
        <f t="shared" si="4"/>
        <v>0</v>
      </c>
      <c r="AP108" s="250">
        <f t="shared" si="5"/>
        <v>0.52500000000000002</v>
      </c>
      <c r="AQ108" s="343"/>
      <c r="AR108" s="354"/>
      <c r="AS108" s="250">
        <f t="shared" si="6"/>
        <v>0</v>
      </c>
      <c r="AT108" s="250">
        <f t="shared" si="7"/>
        <v>1</v>
      </c>
      <c r="AV108" s="346"/>
    </row>
    <row r="109" spans="1:50" s="250" customFormat="1" ht="12.75" x14ac:dyDescent="0.2">
      <c r="A109" s="247" t="s">
        <v>234</v>
      </c>
      <c r="B109" s="88" t="s">
        <v>275</v>
      </c>
      <c r="C109" s="133"/>
      <c r="D109" s="251"/>
      <c r="E109" s="251"/>
      <c r="F109" s="251"/>
      <c r="G109" s="251"/>
      <c r="H109" s="252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2"/>
      <c r="U109" s="251"/>
      <c r="V109" s="251"/>
      <c r="W109" s="251"/>
      <c r="X109" s="251"/>
      <c r="Y109" s="251"/>
      <c r="Z109" s="251">
        <v>1</v>
      </c>
      <c r="AA109" s="251"/>
      <c r="AB109" s="251"/>
      <c r="AC109" s="251"/>
      <c r="AD109" s="251"/>
      <c r="AE109" s="251"/>
      <c r="AF109" s="252"/>
      <c r="AG109" s="228">
        <f t="shared" si="1"/>
        <v>21</v>
      </c>
      <c r="AH109" s="261">
        <f t="shared" si="2"/>
        <v>21</v>
      </c>
      <c r="AI109" s="256"/>
      <c r="AJ109" s="256">
        <v>2.5000000000000001E-2</v>
      </c>
      <c r="AK109" s="256"/>
      <c r="AL109" s="330">
        <f>B139</f>
        <v>720</v>
      </c>
      <c r="AM109" s="226">
        <f t="shared" si="3"/>
        <v>0</v>
      </c>
      <c r="AN109" s="227">
        <f t="shared" si="8"/>
        <v>378</v>
      </c>
      <c r="AO109" s="248">
        <f t="shared" si="4"/>
        <v>0</v>
      </c>
      <c r="AP109" s="250">
        <f t="shared" si="5"/>
        <v>0.52500000000000002</v>
      </c>
      <c r="AQ109" s="343"/>
      <c r="AR109" s="342" t="s">
        <v>286</v>
      </c>
      <c r="AS109" s="250">
        <f t="shared" si="6"/>
        <v>0</v>
      </c>
      <c r="AT109" s="250">
        <f t="shared" si="7"/>
        <v>1</v>
      </c>
      <c r="AV109" s="346"/>
    </row>
    <row r="110" spans="1:50" s="250" customFormat="1" x14ac:dyDescent="0.2">
      <c r="A110" s="144" t="s">
        <v>237</v>
      </c>
      <c r="B110" s="88"/>
      <c r="C110" s="133"/>
      <c r="D110" s="251"/>
      <c r="E110" s="251"/>
      <c r="F110" s="251"/>
      <c r="G110" s="251"/>
      <c r="H110" s="252"/>
      <c r="I110" s="274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6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6"/>
      <c r="AG110" s="228">
        <f t="shared" si="1"/>
        <v>0</v>
      </c>
      <c r="AH110" s="261">
        <f t="shared" si="2"/>
        <v>0</v>
      </c>
      <c r="AI110" s="328"/>
      <c r="AJ110" s="328"/>
      <c r="AK110" s="328"/>
      <c r="AL110" s="331"/>
      <c r="AM110" s="226">
        <f t="shared" si="3"/>
        <v>0</v>
      </c>
      <c r="AN110" s="227">
        <f t="shared" si="0"/>
        <v>0</v>
      </c>
      <c r="AO110" s="248">
        <f t="shared" si="4"/>
        <v>0</v>
      </c>
      <c r="AP110" s="250">
        <f t="shared" si="5"/>
        <v>0</v>
      </c>
      <c r="AQ110" s="343">
        <f>SUM(AO67:AO109)</f>
        <v>0</v>
      </c>
      <c r="AR110" s="343">
        <f>SUM(AP67:AP109)</f>
        <v>131.75400000000005</v>
      </c>
      <c r="AS110" s="250">
        <f t="shared" si="6"/>
        <v>0</v>
      </c>
      <c r="AT110" s="250">
        <f t="shared" si="7"/>
        <v>0</v>
      </c>
      <c r="AW110" s="361">
        <f>SUM(AN111:AN126)</f>
        <v>23859.553846153849</v>
      </c>
      <c r="AX110" s="362"/>
    </row>
    <row r="111" spans="1:50" s="250" customFormat="1" ht="12.75" x14ac:dyDescent="0.2">
      <c r="A111" s="247" t="s">
        <v>219</v>
      </c>
      <c r="B111" s="88" t="s">
        <v>267</v>
      </c>
      <c r="C111" s="133"/>
      <c r="D111" s="251"/>
      <c r="E111" s="251"/>
      <c r="F111" s="251"/>
      <c r="G111" s="251"/>
      <c r="H111" s="252"/>
      <c r="I111" s="251"/>
      <c r="J111" s="251"/>
      <c r="K111" s="251">
        <v>1</v>
      </c>
      <c r="L111" s="251"/>
      <c r="M111" s="251"/>
      <c r="N111" s="251"/>
      <c r="O111" s="251"/>
      <c r="P111" s="251"/>
      <c r="Q111" s="251"/>
      <c r="R111" s="251"/>
      <c r="S111" s="251"/>
      <c r="T111" s="252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2"/>
      <c r="AG111" s="228">
        <f t="shared" si="1"/>
        <v>21</v>
      </c>
      <c r="AH111" s="261">
        <f t="shared" si="2"/>
        <v>21</v>
      </c>
      <c r="AI111" s="256"/>
      <c r="AJ111" s="256">
        <v>0.01</v>
      </c>
      <c r="AK111" s="256"/>
      <c r="AL111" s="329">
        <f>B130</f>
        <v>764</v>
      </c>
      <c r="AM111" s="226">
        <f t="shared" si="3"/>
        <v>0</v>
      </c>
      <c r="AN111" s="227">
        <f t="shared" si="0"/>
        <v>160.44</v>
      </c>
      <c r="AO111" s="248">
        <f t="shared" si="4"/>
        <v>0</v>
      </c>
      <c r="AP111" s="250">
        <f t="shared" si="5"/>
        <v>0.21</v>
      </c>
      <c r="AQ111" s="343"/>
      <c r="AR111" s="343">
        <f>AR110/(AP127/100)</f>
        <v>19.67449590767977</v>
      </c>
      <c r="AS111" s="250">
        <f t="shared" si="6"/>
        <v>1</v>
      </c>
      <c r="AT111" s="250">
        <f t="shared" si="7"/>
        <v>0</v>
      </c>
    </row>
    <row r="112" spans="1:50" s="250" customFormat="1" ht="12.75" x14ac:dyDescent="0.2">
      <c r="A112" s="247" t="s">
        <v>219</v>
      </c>
      <c r="B112" s="88" t="s">
        <v>244</v>
      </c>
      <c r="C112" s="133"/>
      <c r="D112" s="251"/>
      <c r="E112" s="251"/>
      <c r="F112" s="251"/>
      <c r="G112" s="251"/>
      <c r="H112" s="252"/>
      <c r="I112" s="251"/>
      <c r="J112" s="251"/>
      <c r="K112" s="251">
        <v>1</v>
      </c>
      <c r="L112" s="251"/>
      <c r="M112" s="251"/>
      <c r="N112" s="251"/>
      <c r="O112" s="251"/>
      <c r="P112" s="251"/>
      <c r="Q112" s="251"/>
      <c r="R112" s="251"/>
      <c r="S112" s="251"/>
      <c r="T112" s="252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2"/>
      <c r="AG112" s="228">
        <f t="shared" si="1"/>
        <v>21</v>
      </c>
      <c r="AH112" s="261">
        <f t="shared" si="2"/>
        <v>21</v>
      </c>
      <c r="AI112" s="256"/>
      <c r="AJ112" s="256">
        <v>0.2</v>
      </c>
      <c r="AK112" s="256"/>
      <c r="AL112" s="329">
        <f>B131</f>
        <v>660</v>
      </c>
      <c r="AM112" s="226">
        <f t="shared" si="3"/>
        <v>0</v>
      </c>
      <c r="AN112" s="227">
        <f t="shared" si="0"/>
        <v>2772</v>
      </c>
      <c r="AO112" s="248">
        <f t="shared" si="4"/>
        <v>0</v>
      </c>
      <c r="AP112" s="250">
        <f t="shared" si="5"/>
        <v>4.2</v>
      </c>
      <c r="AQ112" s="341"/>
      <c r="AR112" s="341"/>
      <c r="AS112" s="250">
        <f t="shared" si="6"/>
        <v>1</v>
      </c>
      <c r="AT112" s="250">
        <f t="shared" si="7"/>
        <v>0</v>
      </c>
    </row>
    <row r="113" spans="1:46" s="250" customFormat="1" ht="12.75" x14ac:dyDescent="0.2">
      <c r="A113" s="247" t="s">
        <v>219</v>
      </c>
      <c r="B113" s="88" t="s">
        <v>268</v>
      </c>
      <c r="C113" s="133"/>
      <c r="D113" s="251"/>
      <c r="E113" s="251"/>
      <c r="F113" s="251"/>
      <c r="G113" s="251"/>
      <c r="H113" s="252"/>
      <c r="I113" s="251"/>
      <c r="J113" s="251"/>
      <c r="K113" s="251">
        <v>1</v>
      </c>
      <c r="L113" s="251"/>
      <c r="M113" s="251"/>
      <c r="N113" s="251"/>
      <c r="O113" s="251"/>
      <c r="P113" s="251"/>
      <c r="Q113" s="251"/>
      <c r="R113" s="251"/>
      <c r="S113" s="251"/>
      <c r="T113" s="252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2"/>
      <c r="AG113" s="228">
        <f t="shared" si="1"/>
        <v>21</v>
      </c>
      <c r="AH113" s="261">
        <f t="shared" si="2"/>
        <v>21</v>
      </c>
      <c r="AI113" s="256"/>
      <c r="AJ113" s="256">
        <v>0.02</v>
      </c>
      <c r="AK113" s="256"/>
      <c r="AL113" s="329">
        <f>B133</f>
        <v>764</v>
      </c>
      <c r="AM113" s="226">
        <f t="shared" si="3"/>
        <v>0</v>
      </c>
      <c r="AN113" s="227">
        <f t="shared" si="0"/>
        <v>320.88</v>
      </c>
      <c r="AO113" s="248">
        <f t="shared" si="4"/>
        <v>0</v>
      </c>
      <c r="AP113" s="250">
        <f t="shared" si="5"/>
        <v>0.42</v>
      </c>
      <c r="AQ113" s="341"/>
      <c r="AR113" s="341"/>
      <c r="AS113" s="250">
        <f t="shared" si="6"/>
        <v>1</v>
      </c>
      <c r="AT113" s="250">
        <f t="shared" si="7"/>
        <v>0</v>
      </c>
    </row>
    <row r="114" spans="1:46" s="250" customFormat="1" ht="12.75" x14ac:dyDescent="0.2">
      <c r="A114" s="247" t="s">
        <v>220</v>
      </c>
      <c r="B114" s="88" t="s">
        <v>267</v>
      </c>
      <c r="C114" s="133"/>
      <c r="D114" s="251"/>
      <c r="E114" s="251"/>
      <c r="F114" s="251"/>
      <c r="G114" s="251"/>
      <c r="H114" s="252"/>
      <c r="I114" s="251"/>
      <c r="J114" s="251"/>
      <c r="K114" s="251"/>
      <c r="L114" s="251">
        <v>1</v>
      </c>
      <c r="M114" s="251"/>
      <c r="N114" s="251"/>
      <c r="O114" s="251"/>
      <c r="P114" s="251"/>
      <c r="Q114" s="251"/>
      <c r="R114" s="251"/>
      <c r="S114" s="251"/>
      <c r="T114" s="252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2"/>
      <c r="AG114" s="228">
        <f t="shared" si="1"/>
        <v>21</v>
      </c>
      <c r="AH114" s="261">
        <f t="shared" si="2"/>
        <v>21</v>
      </c>
      <c r="AI114" s="256"/>
      <c r="AJ114" s="256">
        <v>0.01</v>
      </c>
      <c r="AK114" s="256"/>
      <c r="AL114" s="329">
        <f>B130</f>
        <v>764</v>
      </c>
      <c r="AM114" s="226">
        <f t="shared" si="3"/>
        <v>0</v>
      </c>
      <c r="AN114" s="227">
        <f t="shared" si="3"/>
        <v>160.44</v>
      </c>
      <c r="AO114" s="248">
        <f t="shared" si="4"/>
        <v>0</v>
      </c>
      <c r="AP114" s="250">
        <f t="shared" si="5"/>
        <v>0.21</v>
      </c>
      <c r="AQ114" s="341"/>
      <c r="AR114" s="341"/>
      <c r="AS114" s="250">
        <f t="shared" si="6"/>
        <v>1</v>
      </c>
      <c r="AT114" s="250">
        <f t="shared" si="7"/>
        <v>0</v>
      </c>
    </row>
    <row r="115" spans="1:46" s="250" customFormat="1" ht="12.75" x14ac:dyDescent="0.2">
      <c r="A115" s="247" t="s">
        <v>220</v>
      </c>
      <c r="B115" s="88" t="s">
        <v>245</v>
      </c>
      <c r="C115" s="133"/>
      <c r="D115" s="251"/>
      <c r="E115" s="251"/>
      <c r="F115" s="251"/>
      <c r="G115" s="251"/>
      <c r="H115" s="252"/>
      <c r="I115" s="251"/>
      <c r="J115" s="251"/>
      <c r="K115" s="251"/>
      <c r="L115" s="251">
        <v>1</v>
      </c>
      <c r="M115" s="251"/>
      <c r="N115" s="251"/>
      <c r="O115" s="251"/>
      <c r="P115" s="251"/>
      <c r="Q115" s="251"/>
      <c r="R115" s="251"/>
      <c r="S115" s="251"/>
      <c r="T115" s="252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2"/>
      <c r="AG115" s="228">
        <f t="shared" ref="AG115:AG126" si="9">COUNTA(C115:AF115)*21</f>
        <v>21</v>
      </c>
      <c r="AH115" s="261">
        <f t="shared" ref="AH115:AH126" si="10">COUNTA(C115:AF115)*21</f>
        <v>21</v>
      </c>
      <c r="AI115" s="256"/>
      <c r="AJ115" s="256">
        <v>0.2</v>
      </c>
      <c r="AK115" s="256"/>
      <c r="AL115" s="329">
        <f>B135</f>
        <v>768</v>
      </c>
      <c r="AM115" s="226">
        <f t="shared" ref="AM115:AN126" si="11">AG115*AI115*AK115</f>
        <v>0</v>
      </c>
      <c r="AN115" s="227">
        <f t="shared" si="11"/>
        <v>3225.6000000000004</v>
      </c>
      <c r="AO115" s="248">
        <f t="shared" ref="AO115:AO126" si="12">AG115*AI115</f>
        <v>0</v>
      </c>
      <c r="AP115" s="250">
        <f t="shared" ref="AP115:AP126" si="13">AH115*AJ115</f>
        <v>4.2</v>
      </c>
      <c r="AQ115" s="341"/>
      <c r="AR115" s="341"/>
      <c r="AS115" s="250">
        <f t="shared" ref="AS115:AS126" si="14">SUM(I115:T115)</f>
        <v>1</v>
      </c>
      <c r="AT115" s="250">
        <f t="shared" ref="AT115:AT126" si="15">SUM(U115:AF115)</f>
        <v>0</v>
      </c>
    </row>
    <row r="116" spans="1:46" s="250" customFormat="1" ht="12.75" x14ac:dyDescent="0.2">
      <c r="A116" s="247" t="s">
        <v>220</v>
      </c>
      <c r="B116" s="88" t="s">
        <v>250</v>
      </c>
      <c r="C116" s="133"/>
      <c r="D116" s="251"/>
      <c r="E116" s="251"/>
      <c r="F116" s="251"/>
      <c r="G116" s="251"/>
      <c r="H116" s="252"/>
      <c r="I116" s="251"/>
      <c r="J116" s="251"/>
      <c r="K116" s="251"/>
      <c r="L116" s="251">
        <v>1</v>
      </c>
      <c r="M116" s="251"/>
      <c r="N116" s="251"/>
      <c r="O116" s="251"/>
      <c r="P116" s="251"/>
      <c r="Q116" s="251"/>
      <c r="R116" s="251"/>
      <c r="S116" s="251"/>
      <c r="T116" s="252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2"/>
      <c r="AG116" s="228">
        <f t="shared" si="9"/>
        <v>21</v>
      </c>
      <c r="AH116" s="261">
        <f t="shared" si="10"/>
        <v>21</v>
      </c>
      <c r="AI116" s="256"/>
      <c r="AJ116" s="256">
        <v>0.1</v>
      </c>
      <c r="AK116" s="256"/>
      <c r="AL116" s="330">
        <f>B137</f>
        <v>1107.6923076923076</v>
      </c>
      <c r="AM116" s="226">
        <f t="shared" si="11"/>
        <v>0</v>
      </c>
      <c r="AN116" s="227">
        <f t="shared" si="11"/>
        <v>2326.1538461538462</v>
      </c>
      <c r="AO116" s="248">
        <f t="shared" si="12"/>
        <v>0</v>
      </c>
      <c r="AP116" s="250">
        <f t="shared" si="13"/>
        <v>2.1</v>
      </c>
      <c r="AQ116" s="341"/>
      <c r="AR116" s="341"/>
      <c r="AS116" s="250">
        <f t="shared" si="14"/>
        <v>1</v>
      </c>
      <c r="AT116" s="250">
        <f t="shared" si="15"/>
        <v>0</v>
      </c>
    </row>
    <row r="117" spans="1:46" s="250" customFormat="1" ht="12.75" x14ac:dyDescent="0.2">
      <c r="A117" s="247" t="s">
        <v>220</v>
      </c>
      <c r="B117" s="88" t="s">
        <v>268</v>
      </c>
      <c r="C117" s="133"/>
      <c r="D117" s="251"/>
      <c r="E117" s="251"/>
      <c r="F117" s="251"/>
      <c r="G117" s="251"/>
      <c r="H117" s="252"/>
      <c r="I117" s="251"/>
      <c r="J117" s="251"/>
      <c r="K117" s="251"/>
      <c r="L117" s="251">
        <v>1</v>
      </c>
      <c r="M117" s="251"/>
      <c r="N117" s="251"/>
      <c r="O117" s="251"/>
      <c r="P117" s="251"/>
      <c r="Q117" s="251"/>
      <c r="R117" s="251"/>
      <c r="S117" s="251"/>
      <c r="T117" s="252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2"/>
      <c r="AG117" s="228">
        <f t="shared" si="9"/>
        <v>21</v>
      </c>
      <c r="AH117" s="261">
        <f t="shared" si="10"/>
        <v>21</v>
      </c>
      <c r="AI117" s="256"/>
      <c r="AJ117" s="256">
        <v>0.02</v>
      </c>
      <c r="AK117" s="256"/>
      <c r="AL117" s="329">
        <f>B133</f>
        <v>764</v>
      </c>
      <c r="AM117" s="226">
        <f t="shared" si="11"/>
        <v>0</v>
      </c>
      <c r="AN117" s="227">
        <f t="shared" si="11"/>
        <v>320.88</v>
      </c>
      <c r="AO117" s="248">
        <f t="shared" si="12"/>
        <v>0</v>
      </c>
      <c r="AP117" s="250">
        <f t="shared" si="13"/>
        <v>0.42</v>
      </c>
      <c r="AQ117" s="341"/>
      <c r="AR117" s="341"/>
      <c r="AS117" s="250">
        <f t="shared" si="14"/>
        <v>1</v>
      </c>
      <c r="AT117" s="250">
        <f t="shared" si="15"/>
        <v>0</v>
      </c>
    </row>
    <row r="118" spans="1:46" s="250" customFormat="1" ht="12.75" x14ac:dyDescent="0.2">
      <c r="A118" s="247" t="s">
        <v>221</v>
      </c>
      <c r="B118" s="88" t="s">
        <v>267</v>
      </c>
      <c r="C118" s="133"/>
      <c r="D118" s="251"/>
      <c r="E118" s="251"/>
      <c r="F118" s="251"/>
      <c r="G118" s="251"/>
      <c r="H118" s="252"/>
      <c r="I118" s="251"/>
      <c r="J118" s="251"/>
      <c r="K118" s="251"/>
      <c r="L118" s="251"/>
      <c r="M118" s="251">
        <v>1</v>
      </c>
      <c r="N118" s="251"/>
      <c r="O118" s="251"/>
      <c r="P118" s="251"/>
      <c r="Q118" s="251"/>
      <c r="R118" s="251"/>
      <c r="S118" s="251"/>
      <c r="T118" s="252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2"/>
      <c r="AG118" s="228">
        <f t="shared" si="9"/>
        <v>21</v>
      </c>
      <c r="AH118" s="261">
        <f t="shared" si="10"/>
        <v>21</v>
      </c>
      <c r="AI118" s="256"/>
      <c r="AJ118" s="256">
        <v>0.01</v>
      </c>
      <c r="AK118" s="256"/>
      <c r="AL118" s="329">
        <f>B130</f>
        <v>764</v>
      </c>
      <c r="AM118" s="226">
        <f t="shared" si="11"/>
        <v>0</v>
      </c>
      <c r="AN118" s="227">
        <f t="shared" si="11"/>
        <v>160.44</v>
      </c>
      <c r="AO118" s="248">
        <f t="shared" si="12"/>
        <v>0</v>
      </c>
      <c r="AP118" s="250">
        <f t="shared" si="13"/>
        <v>0.21</v>
      </c>
      <c r="AQ118" s="341"/>
      <c r="AR118" s="341"/>
      <c r="AS118" s="250">
        <f t="shared" si="14"/>
        <v>1</v>
      </c>
      <c r="AT118" s="250">
        <f t="shared" si="15"/>
        <v>0</v>
      </c>
    </row>
    <row r="119" spans="1:46" s="250" customFormat="1" ht="12.75" x14ac:dyDescent="0.2">
      <c r="A119" s="247" t="s">
        <v>221</v>
      </c>
      <c r="B119" s="88" t="s">
        <v>269</v>
      </c>
      <c r="C119" s="133"/>
      <c r="D119" s="251"/>
      <c r="E119" s="251"/>
      <c r="F119" s="251"/>
      <c r="G119" s="251"/>
      <c r="H119" s="252"/>
      <c r="I119" s="251"/>
      <c r="J119" s="251"/>
      <c r="K119" s="251"/>
      <c r="L119" s="251"/>
      <c r="M119" s="251">
        <v>1</v>
      </c>
      <c r="N119" s="251"/>
      <c r="O119" s="251"/>
      <c r="P119" s="251"/>
      <c r="Q119" s="251"/>
      <c r="R119" s="251"/>
      <c r="S119" s="251"/>
      <c r="T119" s="252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2"/>
      <c r="AG119" s="228">
        <f t="shared" si="9"/>
        <v>21</v>
      </c>
      <c r="AH119" s="261">
        <f t="shared" si="10"/>
        <v>21</v>
      </c>
      <c r="AI119" s="256"/>
      <c r="AJ119" s="256">
        <v>0.45</v>
      </c>
      <c r="AK119" s="256"/>
      <c r="AL119" s="329">
        <f>B138</f>
        <v>600</v>
      </c>
      <c r="AM119" s="226">
        <f t="shared" si="11"/>
        <v>0</v>
      </c>
      <c r="AN119" s="227">
        <f t="shared" si="11"/>
        <v>5670.0000000000009</v>
      </c>
      <c r="AO119" s="248">
        <f t="shared" si="12"/>
        <v>0</v>
      </c>
      <c r="AP119" s="250">
        <f t="shared" si="13"/>
        <v>9.4500000000000011</v>
      </c>
      <c r="AQ119" s="341"/>
      <c r="AR119" s="341"/>
      <c r="AS119" s="250">
        <f t="shared" si="14"/>
        <v>1</v>
      </c>
      <c r="AT119" s="250">
        <f t="shared" si="15"/>
        <v>0</v>
      </c>
    </row>
    <row r="120" spans="1:46" s="250" customFormat="1" ht="12.75" x14ac:dyDescent="0.2">
      <c r="A120" s="247" t="s">
        <v>221</v>
      </c>
      <c r="B120" s="88" t="s">
        <v>268</v>
      </c>
      <c r="C120" s="133"/>
      <c r="D120" s="251"/>
      <c r="E120" s="251"/>
      <c r="F120" s="251"/>
      <c r="G120" s="251"/>
      <c r="H120" s="252"/>
      <c r="I120" s="251"/>
      <c r="J120" s="251"/>
      <c r="K120" s="251"/>
      <c r="L120" s="251"/>
      <c r="M120" s="251">
        <v>1</v>
      </c>
      <c r="N120" s="251"/>
      <c r="O120" s="251"/>
      <c r="P120" s="251"/>
      <c r="Q120" s="251"/>
      <c r="R120" s="251"/>
      <c r="S120" s="251"/>
      <c r="T120" s="252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2"/>
      <c r="AG120" s="228">
        <f t="shared" si="9"/>
        <v>21</v>
      </c>
      <c r="AH120" s="261">
        <f t="shared" si="10"/>
        <v>21</v>
      </c>
      <c r="AI120" s="256"/>
      <c r="AJ120" s="256">
        <v>0.02</v>
      </c>
      <c r="AK120" s="256"/>
      <c r="AL120" s="329">
        <f>B133</f>
        <v>764</v>
      </c>
      <c r="AM120" s="226">
        <f t="shared" si="11"/>
        <v>0</v>
      </c>
      <c r="AN120" s="227">
        <f t="shared" si="11"/>
        <v>320.88</v>
      </c>
      <c r="AO120" s="248">
        <f t="shared" si="12"/>
        <v>0</v>
      </c>
      <c r="AP120" s="250">
        <f t="shared" si="13"/>
        <v>0.42</v>
      </c>
      <c r="AQ120" s="341"/>
      <c r="AR120" s="341"/>
      <c r="AS120" s="250">
        <f t="shared" si="14"/>
        <v>1</v>
      </c>
      <c r="AT120" s="250">
        <f t="shared" si="15"/>
        <v>0</v>
      </c>
    </row>
    <row r="121" spans="1:46" s="250" customFormat="1" ht="12.75" x14ac:dyDescent="0.2">
      <c r="A121" s="247" t="s">
        <v>223</v>
      </c>
      <c r="B121" s="88" t="s">
        <v>267</v>
      </c>
      <c r="C121" s="133"/>
      <c r="D121" s="251"/>
      <c r="E121" s="251"/>
      <c r="F121" s="251"/>
      <c r="G121" s="251"/>
      <c r="H121" s="252"/>
      <c r="I121" s="251"/>
      <c r="J121" s="251"/>
      <c r="K121" s="251"/>
      <c r="L121" s="251"/>
      <c r="M121" s="251">
        <v>1</v>
      </c>
      <c r="N121" s="251"/>
      <c r="O121" s="251"/>
      <c r="P121" s="251"/>
      <c r="Q121" s="251"/>
      <c r="R121" s="251"/>
      <c r="S121" s="251"/>
      <c r="T121" s="252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2"/>
      <c r="AG121" s="228">
        <f t="shared" si="9"/>
        <v>21</v>
      </c>
      <c r="AH121" s="261">
        <f t="shared" si="10"/>
        <v>21</v>
      </c>
      <c r="AI121" s="256"/>
      <c r="AJ121" s="256">
        <v>0.01</v>
      </c>
      <c r="AK121" s="256"/>
      <c r="AL121" s="329">
        <f>B130</f>
        <v>764</v>
      </c>
      <c r="AM121" s="226">
        <f t="shared" si="11"/>
        <v>0</v>
      </c>
      <c r="AN121" s="227">
        <f t="shared" si="11"/>
        <v>160.44</v>
      </c>
      <c r="AO121" s="248">
        <f t="shared" si="12"/>
        <v>0</v>
      </c>
      <c r="AP121" s="250">
        <f t="shared" si="13"/>
        <v>0.21</v>
      </c>
      <c r="AQ121" s="341"/>
      <c r="AR121" s="341"/>
      <c r="AS121" s="250">
        <f t="shared" si="14"/>
        <v>1</v>
      </c>
      <c r="AT121" s="250">
        <f t="shared" si="15"/>
        <v>0</v>
      </c>
    </row>
    <row r="122" spans="1:46" s="250" customFormat="1" ht="12.75" x14ac:dyDescent="0.2">
      <c r="A122" s="247" t="s">
        <v>223</v>
      </c>
      <c r="B122" s="88" t="s">
        <v>270</v>
      </c>
      <c r="C122" s="133"/>
      <c r="D122" s="251"/>
      <c r="E122" s="251"/>
      <c r="F122" s="251"/>
      <c r="G122" s="251"/>
      <c r="H122" s="252"/>
      <c r="I122" s="251"/>
      <c r="J122" s="251"/>
      <c r="K122" s="251"/>
      <c r="L122" s="251"/>
      <c r="M122" s="251">
        <v>1</v>
      </c>
      <c r="N122" s="251"/>
      <c r="O122" s="251"/>
      <c r="P122" s="251"/>
      <c r="Q122" s="251"/>
      <c r="R122" s="251"/>
      <c r="S122" s="251"/>
      <c r="T122" s="252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2"/>
      <c r="AG122" s="228">
        <f t="shared" si="9"/>
        <v>21</v>
      </c>
      <c r="AH122" s="261">
        <f t="shared" si="10"/>
        <v>21</v>
      </c>
      <c r="AI122" s="256"/>
      <c r="AJ122" s="256">
        <v>0.25</v>
      </c>
      <c r="AK122" s="256"/>
      <c r="AL122" s="329">
        <f>B142</f>
        <v>576</v>
      </c>
      <c r="AM122" s="226">
        <f t="shared" si="11"/>
        <v>0</v>
      </c>
      <c r="AN122" s="227">
        <f t="shared" si="11"/>
        <v>3024</v>
      </c>
      <c r="AO122" s="248">
        <f t="shared" si="12"/>
        <v>0</v>
      </c>
      <c r="AP122" s="250">
        <f t="shared" si="13"/>
        <v>5.25</v>
      </c>
      <c r="AQ122" s="341"/>
      <c r="AR122" s="341"/>
      <c r="AS122" s="250">
        <f t="shared" si="14"/>
        <v>1</v>
      </c>
      <c r="AT122" s="250">
        <f t="shared" si="15"/>
        <v>0</v>
      </c>
    </row>
    <row r="123" spans="1:46" s="250" customFormat="1" ht="12.75" x14ac:dyDescent="0.2">
      <c r="A123" s="247" t="s">
        <v>223</v>
      </c>
      <c r="B123" s="88" t="s">
        <v>268</v>
      </c>
      <c r="C123" s="133"/>
      <c r="D123" s="251"/>
      <c r="E123" s="251"/>
      <c r="F123" s="251"/>
      <c r="G123" s="251"/>
      <c r="H123" s="252"/>
      <c r="I123" s="251"/>
      <c r="J123" s="251"/>
      <c r="K123" s="251"/>
      <c r="L123" s="251"/>
      <c r="M123" s="251">
        <v>1</v>
      </c>
      <c r="N123" s="251"/>
      <c r="O123" s="251"/>
      <c r="P123" s="251"/>
      <c r="Q123" s="251"/>
      <c r="R123" s="251"/>
      <c r="S123" s="251"/>
      <c r="T123" s="252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2"/>
      <c r="AG123" s="228">
        <f t="shared" si="9"/>
        <v>21</v>
      </c>
      <c r="AH123" s="261">
        <f t="shared" si="10"/>
        <v>21</v>
      </c>
      <c r="AI123" s="256"/>
      <c r="AJ123" s="256">
        <v>0.02</v>
      </c>
      <c r="AK123" s="256"/>
      <c r="AL123" s="329">
        <f>B133</f>
        <v>764</v>
      </c>
      <c r="AM123" s="226">
        <f t="shared" si="11"/>
        <v>0</v>
      </c>
      <c r="AN123" s="227">
        <f t="shared" si="11"/>
        <v>320.88</v>
      </c>
      <c r="AO123" s="248">
        <f t="shared" si="12"/>
        <v>0</v>
      </c>
      <c r="AP123" s="250">
        <f t="shared" si="13"/>
        <v>0.42</v>
      </c>
      <c r="AQ123" s="341"/>
      <c r="AR123" s="341"/>
      <c r="AS123" s="250">
        <f t="shared" si="14"/>
        <v>1</v>
      </c>
      <c r="AT123" s="250">
        <f t="shared" si="15"/>
        <v>0</v>
      </c>
    </row>
    <row r="124" spans="1:46" s="250" customFormat="1" ht="12.75" x14ac:dyDescent="0.2">
      <c r="A124" s="247" t="s">
        <v>222</v>
      </c>
      <c r="B124" s="88" t="s">
        <v>267</v>
      </c>
      <c r="C124" s="133"/>
      <c r="D124" s="251"/>
      <c r="E124" s="251"/>
      <c r="F124" s="251"/>
      <c r="G124" s="251"/>
      <c r="H124" s="252"/>
      <c r="I124" s="251"/>
      <c r="J124" s="251"/>
      <c r="K124" s="251"/>
      <c r="L124" s="251"/>
      <c r="M124" s="251"/>
      <c r="N124" s="251">
        <v>1</v>
      </c>
      <c r="O124" s="251"/>
      <c r="P124" s="251"/>
      <c r="Q124" s="251"/>
      <c r="R124" s="251"/>
      <c r="S124" s="251"/>
      <c r="T124" s="252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2"/>
      <c r="AG124" s="228">
        <f t="shared" si="9"/>
        <v>21</v>
      </c>
      <c r="AH124" s="261">
        <f t="shared" si="10"/>
        <v>21</v>
      </c>
      <c r="AI124" s="256"/>
      <c r="AJ124" s="256">
        <v>0.01</v>
      </c>
      <c r="AK124" s="256"/>
      <c r="AL124" s="329">
        <f>B130</f>
        <v>764</v>
      </c>
      <c r="AM124" s="226">
        <f t="shared" si="11"/>
        <v>0</v>
      </c>
      <c r="AN124" s="227">
        <f t="shared" si="11"/>
        <v>160.44</v>
      </c>
      <c r="AO124" s="248">
        <f t="shared" si="12"/>
        <v>0</v>
      </c>
      <c r="AP124" s="250">
        <f t="shared" si="13"/>
        <v>0.21</v>
      </c>
      <c r="AQ124" s="341"/>
      <c r="AR124" s="341"/>
      <c r="AS124" s="250">
        <f t="shared" si="14"/>
        <v>1</v>
      </c>
      <c r="AT124" s="250">
        <f t="shared" si="15"/>
        <v>0</v>
      </c>
    </row>
    <row r="125" spans="1:46" s="250" customFormat="1" ht="12.75" x14ac:dyDescent="0.2">
      <c r="A125" s="247" t="s">
        <v>222</v>
      </c>
      <c r="B125" s="88" t="s">
        <v>271</v>
      </c>
      <c r="C125" s="133"/>
      <c r="D125" s="251"/>
      <c r="E125" s="251"/>
      <c r="F125" s="251"/>
      <c r="G125" s="251"/>
      <c r="H125" s="252"/>
      <c r="I125" s="251"/>
      <c r="J125" s="251"/>
      <c r="K125" s="251"/>
      <c r="L125" s="251"/>
      <c r="M125" s="251"/>
      <c r="N125" s="251">
        <v>1</v>
      </c>
      <c r="O125" s="251"/>
      <c r="P125" s="251"/>
      <c r="Q125" s="251"/>
      <c r="R125" s="251"/>
      <c r="S125" s="251"/>
      <c r="T125" s="252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2"/>
      <c r="AG125" s="228">
        <f t="shared" si="9"/>
        <v>21</v>
      </c>
      <c r="AH125" s="261">
        <f t="shared" si="10"/>
        <v>21</v>
      </c>
      <c r="AI125" s="256"/>
      <c r="AJ125" s="256">
        <v>0.3</v>
      </c>
      <c r="AK125" s="256"/>
      <c r="AL125" s="329">
        <f>B141</f>
        <v>704</v>
      </c>
      <c r="AM125" s="226">
        <f t="shared" si="11"/>
        <v>0</v>
      </c>
      <c r="AN125" s="227">
        <f t="shared" si="11"/>
        <v>4435.2</v>
      </c>
      <c r="AO125" s="248">
        <f t="shared" si="12"/>
        <v>0</v>
      </c>
      <c r="AP125" s="250">
        <f t="shared" si="13"/>
        <v>6.3</v>
      </c>
      <c r="AQ125" s="341"/>
      <c r="AR125" s="342" t="s">
        <v>286</v>
      </c>
      <c r="AS125" s="250">
        <f t="shared" si="14"/>
        <v>1</v>
      </c>
      <c r="AT125" s="250">
        <f t="shared" si="15"/>
        <v>0</v>
      </c>
    </row>
    <row r="126" spans="1:46" s="250" customFormat="1" ht="13.5" thickBot="1" x14ac:dyDescent="0.25">
      <c r="A126" s="247" t="s">
        <v>222</v>
      </c>
      <c r="B126" s="88" t="s">
        <v>268</v>
      </c>
      <c r="C126" s="133"/>
      <c r="D126" s="251"/>
      <c r="E126" s="251"/>
      <c r="F126" s="251"/>
      <c r="G126" s="251"/>
      <c r="H126" s="252"/>
      <c r="I126" s="251"/>
      <c r="J126" s="251"/>
      <c r="K126" s="251"/>
      <c r="L126" s="251"/>
      <c r="M126" s="251"/>
      <c r="N126" s="251">
        <v>1</v>
      </c>
      <c r="O126" s="251"/>
      <c r="P126" s="251"/>
      <c r="Q126" s="251"/>
      <c r="R126" s="251"/>
      <c r="S126" s="251"/>
      <c r="T126" s="252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2"/>
      <c r="AG126" s="228">
        <f t="shared" si="9"/>
        <v>21</v>
      </c>
      <c r="AH126" s="261">
        <f t="shared" si="10"/>
        <v>21</v>
      </c>
      <c r="AI126" s="256"/>
      <c r="AJ126" s="256">
        <v>0.02</v>
      </c>
      <c r="AK126" s="256"/>
      <c r="AL126" s="329">
        <f>B133</f>
        <v>764</v>
      </c>
      <c r="AM126" s="226">
        <f t="shared" si="11"/>
        <v>0</v>
      </c>
      <c r="AN126" s="227">
        <f t="shared" si="11"/>
        <v>320.88</v>
      </c>
      <c r="AO126" s="248">
        <f t="shared" si="12"/>
        <v>0</v>
      </c>
      <c r="AP126" s="250">
        <f t="shared" si="13"/>
        <v>0.42</v>
      </c>
      <c r="AQ126" s="343">
        <f>SUM(AO111:AO126)</f>
        <v>0</v>
      </c>
      <c r="AR126" s="343">
        <f>SUM(AP111:AP126)</f>
        <v>34.650000000000006</v>
      </c>
      <c r="AS126" s="250">
        <f t="shared" si="14"/>
        <v>1</v>
      </c>
      <c r="AT126" s="250">
        <f t="shared" si="15"/>
        <v>0</v>
      </c>
    </row>
    <row r="127" spans="1:46" ht="12.75" thickBot="1" x14ac:dyDescent="0.25">
      <c r="A127" s="146" t="s">
        <v>113</v>
      </c>
      <c r="B127" s="90"/>
      <c r="C127" s="140"/>
      <c r="D127" s="255"/>
      <c r="E127" s="255"/>
      <c r="F127" s="255"/>
      <c r="G127" s="255"/>
      <c r="H127" s="255"/>
      <c r="I127" s="255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132"/>
      <c r="AH127" s="132"/>
      <c r="AI127" s="132"/>
      <c r="AJ127" s="132"/>
      <c r="AK127" s="132"/>
      <c r="AL127" s="132"/>
      <c r="AM127" s="353">
        <f>SUM(AM4:AM126)</f>
        <v>0</v>
      </c>
      <c r="AN127" s="348">
        <f>SUM(AN4:AN126)</f>
        <v>463776.84683076921</v>
      </c>
      <c r="AO127" s="223">
        <f t="shared" ref="AO127:AP127" si="16">SUM(AO4:AO126)</f>
        <v>0</v>
      </c>
      <c r="AP127" s="348">
        <f t="shared" si="16"/>
        <v>669.66899999999998</v>
      </c>
      <c r="AQ127" s="343"/>
      <c r="AR127" s="343">
        <f>AR126/(AP127/100)</f>
        <v>5.1741979993101079</v>
      </c>
    </row>
    <row r="128" spans="1:46" ht="12.75" thickBot="1" x14ac:dyDescent="0.25">
      <c r="AO128" s="91"/>
      <c r="AP128" s="91"/>
      <c r="AR128" s="338" t="s">
        <v>287</v>
      </c>
      <c r="AS128" s="262">
        <f>21*SUMPRODUCT(AS$6:AS$126,$AJ$6:$AJ$126,$AL$6:$AL$126)</f>
        <v>455838.84683076886</v>
      </c>
      <c r="AT128" s="262">
        <f>21*SUMPRODUCT(AT$6:AT$126,$AJ$6:$AJ$126,$AL$6:$AL$126)</f>
        <v>7938</v>
      </c>
    </row>
    <row r="129" spans="1:46" ht="12.75" thickBot="1" x14ac:dyDescent="0.25">
      <c r="A129" s="339" t="s">
        <v>285</v>
      </c>
      <c r="B129" s="340" t="s">
        <v>278</v>
      </c>
      <c r="AR129" s="338" t="s">
        <v>288</v>
      </c>
      <c r="AS129" s="262">
        <f>SUMPRODUCT($AG$6:$AG$126,$AK$6:$AK$126)*SUM(AS6:AS126)/SUM($AS6:$AT126)</f>
        <v>0</v>
      </c>
      <c r="AT129" s="262">
        <f>SUMPRODUCT($AG$6:$AG$126,$AK$6:$AK$126)*SUM(AT6:AT126)/SUM($AS6:$AT126)</f>
        <v>0</v>
      </c>
    </row>
    <row r="130" spans="1:46" ht="12" customHeight="1" x14ac:dyDescent="0.25">
      <c r="A130" s="332" t="s">
        <v>267</v>
      </c>
      <c r="B130" s="337">
        <v>764</v>
      </c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AN130" s="92"/>
    </row>
    <row r="131" spans="1:46" x14ac:dyDescent="0.2">
      <c r="A131" s="332" t="s">
        <v>244</v>
      </c>
      <c r="B131" s="333">
        <v>660</v>
      </c>
      <c r="AR131" s="341"/>
    </row>
    <row r="132" spans="1:46" x14ac:dyDescent="0.2">
      <c r="A132" s="332" t="s">
        <v>279</v>
      </c>
      <c r="B132" s="334">
        <f>660*1.2</f>
        <v>792</v>
      </c>
    </row>
    <row r="133" spans="1:46" x14ac:dyDescent="0.2">
      <c r="A133" s="332" t="s">
        <v>283</v>
      </c>
      <c r="B133" s="333">
        <v>764</v>
      </c>
    </row>
    <row r="134" spans="1:46" x14ac:dyDescent="0.2">
      <c r="A134" s="332" t="s">
        <v>280</v>
      </c>
      <c r="B134" s="334">
        <f>764*1.2</f>
        <v>916.8</v>
      </c>
    </row>
    <row r="135" spans="1:46" x14ac:dyDescent="0.2">
      <c r="A135" s="332" t="s">
        <v>245</v>
      </c>
      <c r="B135" s="333">
        <v>768</v>
      </c>
    </row>
    <row r="136" spans="1:46" x14ac:dyDescent="0.2">
      <c r="A136" s="332" t="s">
        <v>281</v>
      </c>
      <c r="B136" s="334">
        <f>768*1.2</f>
        <v>921.59999999999991</v>
      </c>
    </row>
    <row r="137" spans="1:46" x14ac:dyDescent="0.2">
      <c r="A137" s="332" t="s">
        <v>284</v>
      </c>
      <c r="B137" s="334">
        <f>1440/1.3</f>
        <v>1107.6923076923076</v>
      </c>
    </row>
    <row r="138" spans="1:46" x14ac:dyDescent="0.2">
      <c r="A138" s="332" t="s">
        <v>269</v>
      </c>
      <c r="B138" s="333">
        <v>600</v>
      </c>
    </row>
    <row r="139" spans="1:46" x14ac:dyDescent="0.2">
      <c r="A139" s="332" t="s">
        <v>282</v>
      </c>
      <c r="B139" s="334">
        <f>600*1.2</f>
        <v>720</v>
      </c>
    </row>
    <row r="140" spans="1:46" x14ac:dyDescent="0.2">
      <c r="A140" s="332" t="s">
        <v>252</v>
      </c>
      <c r="B140" s="333">
        <v>600</v>
      </c>
    </row>
    <row r="141" spans="1:46" x14ac:dyDescent="0.2">
      <c r="A141" s="332" t="s">
        <v>271</v>
      </c>
      <c r="B141" s="333">
        <v>704</v>
      </c>
    </row>
    <row r="142" spans="1:46" ht="12.75" thickBot="1" x14ac:dyDescent="0.25">
      <c r="A142" s="335" t="s">
        <v>270</v>
      </c>
      <c r="B142" s="336">
        <v>576</v>
      </c>
    </row>
    <row r="143" spans="1:46" x14ac:dyDescent="0.2">
      <c r="A143" s="88" t="s">
        <v>291</v>
      </c>
    </row>
    <row r="144" spans="1:46" ht="15" x14ac:dyDescent="0.25">
      <c r="A144" s="344" t="s">
        <v>292</v>
      </c>
    </row>
    <row r="145" spans="1:2" x14ac:dyDescent="0.2">
      <c r="A145" s="88"/>
    </row>
    <row r="146" spans="1:2" ht="12.75" thickBot="1" x14ac:dyDescent="0.25">
      <c r="A146" s="88"/>
    </row>
    <row r="147" spans="1:2" ht="12.75" thickBot="1" x14ac:dyDescent="0.25">
      <c r="A147" s="339" t="s">
        <v>302</v>
      </c>
      <c r="B147" s="339" t="s">
        <v>285</v>
      </c>
    </row>
    <row r="148" spans="1:2" x14ac:dyDescent="0.2">
      <c r="A148" s="349">
        <f>AP6+AP9+AP13+AP16+AP19+AP23+AP28+AP34+AP42+AP51+AP67+AP72+AP78+AP86+AP95+AP111+AP114+AP118+AP121+AP124</f>
        <v>20.580000000000009</v>
      </c>
      <c r="B148" s="332" t="s">
        <v>267</v>
      </c>
    </row>
    <row r="149" spans="1:2" x14ac:dyDescent="0.2">
      <c r="A149" s="349">
        <f>AP7+AP24+AP68+AP112</f>
        <v>28.98</v>
      </c>
      <c r="B149" s="332" t="s">
        <v>244</v>
      </c>
    </row>
    <row r="150" spans="1:2" x14ac:dyDescent="0.2">
      <c r="A150" s="349">
        <f>AP25+AP56+AP58+AP60+AP62+AP64+AP69+AP100+AP102+AP104+AP106+AP108</f>
        <v>32.655000000000001</v>
      </c>
      <c r="B150" s="332" t="s">
        <v>272</v>
      </c>
    </row>
    <row r="151" spans="1:2" x14ac:dyDescent="0.2">
      <c r="A151" s="349">
        <f>AP8+AP12+AP15+AP18+AP21+AP26+AP32+AP40+AP49+AP54+AP70+AP76+AP84+AP93+AP98+AP113+AP117+AP120+AP123+AP126</f>
        <v>33.957000000000008</v>
      </c>
      <c r="B151" s="332" t="s">
        <v>268</v>
      </c>
    </row>
    <row r="152" spans="1:2" x14ac:dyDescent="0.2">
      <c r="A152" s="349">
        <f>AP27+AP33+AP41+AP50+AP55+AP71+AP77+AP85+AP94+AP99</f>
        <v>15.792</v>
      </c>
      <c r="B152" s="332" t="s">
        <v>273</v>
      </c>
    </row>
    <row r="153" spans="1:2" x14ac:dyDescent="0.2">
      <c r="A153" s="349">
        <f>AP10+AP29+AP73+AP115</f>
        <v>21.315000000000001</v>
      </c>
      <c r="B153" s="332" t="s">
        <v>245</v>
      </c>
    </row>
    <row r="154" spans="1:2" x14ac:dyDescent="0.2">
      <c r="A154" s="349">
        <f>AP30+AP74</f>
        <v>12.39</v>
      </c>
      <c r="B154" s="332" t="s">
        <v>274</v>
      </c>
    </row>
    <row r="155" spans="1:2" x14ac:dyDescent="0.2">
      <c r="A155" s="349">
        <f>AP11+AP31+AP37+AP46+AP53+AP75+AP81+AP90+AP97+AP116</f>
        <v>29.610000000000003</v>
      </c>
      <c r="B155" s="332" t="s">
        <v>250</v>
      </c>
    </row>
    <row r="156" spans="1:2" x14ac:dyDescent="0.2">
      <c r="A156" s="349">
        <f>AP14+AP35+AP44+AP79+AP88+AP119</f>
        <v>185.64</v>
      </c>
      <c r="B156" s="332" t="s">
        <v>269</v>
      </c>
    </row>
    <row r="157" spans="1:2" x14ac:dyDescent="0.2">
      <c r="A157" s="349">
        <f>AP36+AP45+AP57+AP59+AP61+AP63+AP65+AP80+AP89+AP101+AP103+AP105+AP107+AP109</f>
        <v>119.175</v>
      </c>
      <c r="B157" s="332" t="s">
        <v>275</v>
      </c>
    </row>
    <row r="158" spans="1:2" x14ac:dyDescent="0.2">
      <c r="A158" s="349">
        <f>AP38+AP47+AP82+AP91</f>
        <v>30.24</v>
      </c>
      <c r="B158" s="332" t="s">
        <v>252</v>
      </c>
    </row>
    <row r="159" spans="1:2" x14ac:dyDescent="0.2">
      <c r="A159" s="349">
        <f>AP20+AP39+AP48+AP52+AP83+AP92+AP96+AP125</f>
        <v>50.505000000000003</v>
      </c>
      <c r="B159" s="332" t="s">
        <v>271</v>
      </c>
    </row>
    <row r="160" spans="1:2" ht="12.75" thickBot="1" x14ac:dyDescent="0.25">
      <c r="A160" s="350">
        <f>AP17+AP43+AP87+AP122</f>
        <v>88.83</v>
      </c>
      <c r="B160" s="335" t="s">
        <v>270</v>
      </c>
    </row>
    <row r="161" spans="1:40" x14ac:dyDescent="0.2">
      <c r="A161" s="341">
        <f>SUM(A148:A160)</f>
        <v>669.66899999999998</v>
      </c>
      <c r="B161" s="84" t="s">
        <v>69</v>
      </c>
    </row>
    <row r="162" spans="1:40" s="250" customFormat="1" x14ac:dyDescent="0.2">
      <c r="A162" s="341"/>
      <c r="AN162" s="85"/>
    </row>
    <row r="163" spans="1:40" s="250" customFormat="1" x14ac:dyDescent="0.2">
      <c r="A163" s="341"/>
      <c r="AN163" s="85"/>
    </row>
    <row r="164" spans="1:40" s="250" customFormat="1" x14ac:dyDescent="0.2">
      <c r="A164" s="357" t="s">
        <v>303</v>
      </c>
      <c r="B164" s="355" t="s">
        <v>322</v>
      </c>
      <c r="AN164" s="85"/>
    </row>
    <row r="165" spans="1:40" s="250" customFormat="1" x14ac:dyDescent="0.2">
      <c r="A165" s="341" t="s">
        <v>327</v>
      </c>
      <c r="B165" s="250">
        <v>4</v>
      </c>
      <c r="AN165" s="85"/>
    </row>
    <row r="166" spans="1:40" s="250" customFormat="1" x14ac:dyDescent="0.2">
      <c r="A166" s="341" t="s">
        <v>328</v>
      </c>
      <c r="B166" s="250">
        <f>B165*B182</f>
        <v>28</v>
      </c>
      <c r="AN166" s="85"/>
    </row>
    <row r="167" spans="1:40" s="250" customFormat="1" x14ac:dyDescent="0.2">
      <c r="A167" s="341" t="s">
        <v>329</v>
      </c>
      <c r="B167" s="250">
        <f>B165*B192</f>
        <v>64</v>
      </c>
      <c r="AN167" s="85"/>
    </row>
    <row r="168" spans="1:40" s="250" customFormat="1" x14ac:dyDescent="0.2">
      <c r="A168" s="341" t="s">
        <v>330</v>
      </c>
      <c r="B168" s="250">
        <f>B195</f>
        <v>40</v>
      </c>
      <c r="AN168" s="85"/>
    </row>
    <row r="169" spans="1:40" s="250" customFormat="1" x14ac:dyDescent="0.2">
      <c r="A169" s="341" t="s">
        <v>69</v>
      </c>
      <c r="B169" s="250">
        <f>SUM(B166:B168)</f>
        <v>132</v>
      </c>
      <c r="AN169" s="85"/>
    </row>
    <row r="170" spans="1:40" s="250" customFormat="1" x14ac:dyDescent="0.2">
      <c r="A170" s="341"/>
      <c r="AN170" s="85"/>
    </row>
    <row r="172" spans="1:40" x14ac:dyDescent="0.2">
      <c r="A172" s="355" t="s">
        <v>313</v>
      </c>
      <c r="B172" s="355" t="s">
        <v>322</v>
      </c>
    </row>
    <row r="173" spans="1:40" x14ac:dyDescent="0.2">
      <c r="A173" s="84" t="s">
        <v>314</v>
      </c>
      <c r="B173" s="84">
        <v>0.5</v>
      </c>
    </row>
    <row r="174" spans="1:40" x14ac:dyDescent="0.2">
      <c r="A174" s="84" t="s">
        <v>321</v>
      </c>
      <c r="B174" s="84">
        <v>1</v>
      </c>
    </row>
    <row r="175" spans="1:40" x14ac:dyDescent="0.2">
      <c r="A175" s="84" t="s">
        <v>315</v>
      </c>
      <c r="B175" s="84">
        <v>0.5</v>
      </c>
    </row>
    <row r="176" spans="1:40" x14ac:dyDescent="0.2">
      <c r="A176" s="84" t="s">
        <v>316</v>
      </c>
      <c r="B176" s="84">
        <v>1</v>
      </c>
    </row>
    <row r="177" spans="1:2" x14ac:dyDescent="0.2">
      <c r="A177" s="84" t="s">
        <v>317</v>
      </c>
      <c r="B177" s="84">
        <v>0.5</v>
      </c>
    </row>
    <row r="178" spans="1:2" x14ac:dyDescent="0.2">
      <c r="A178" s="84" t="s">
        <v>318</v>
      </c>
      <c r="B178" s="84">
        <v>0.5</v>
      </c>
    </row>
    <row r="179" spans="1:2" x14ac:dyDescent="0.2">
      <c r="A179" s="84" t="s">
        <v>319</v>
      </c>
      <c r="B179" s="84">
        <v>1</v>
      </c>
    </row>
    <row r="180" spans="1:2" x14ac:dyDescent="0.2">
      <c r="A180" s="84" t="s">
        <v>320</v>
      </c>
      <c r="B180" s="84">
        <v>1</v>
      </c>
    </row>
    <row r="181" spans="1:2" x14ac:dyDescent="0.2">
      <c r="A181" s="84" t="s">
        <v>301</v>
      </c>
      <c r="B181" s="84">
        <v>1</v>
      </c>
    </row>
    <row r="182" spans="1:2" x14ac:dyDescent="0.2">
      <c r="A182" s="84" t="s">
        <v>69</v>
      </c>
      <c r="B182" s="84">
        <f>SUM(B173:B181)</f>
        <v>7</v>
      </c>
    </row>
    <row r="185" spans="1:2" x14ac:dyDescent="0.2">
      <c r="A185" s="356" t="s">
        <v>323</v>
      </c>
      <c r="B185" s="356" t="s">
        <v>322</v>
      </c>
    </row>
    <row r="186" spans="1:2" x14ac:dyDescent="0.2">
      <c r="A186" s="84" t="s">
        <v>314</v>
      </c>
      <c r="B186" s="84">
        <v>1.5</v>
      </c>
    </row>
    <row r="187" spans="1:2" x14ac:dyDescent="0.2">
      <c r="A187" s="84" t="s">
        <v>324</v>
      </c>
      <c r="B187" s="84">
        <v>1</v>
      </c>
    </row>
    <row r="188" spans="1:2" x14ac:dyDescent="0.2">
      <c r="A188" s="84" t="s">
        <v>325</v>
      </c>
      <c r="B188" s="84">
        <v>4.5</v>
      </c>
    </row>
    <row r="189" spans="1:2" x14ac:dyDescent="0.2">
      <c r="A189" s="84" t="s">
        <v>300</v>
      </c>
      <c r="B189" s="84">
        <v>4.5</v>
      </c>
    </row>
    <row r="190" spans="1:2" x14ac:dyDescent="0.2">
      <c r="A190" s="84" t="s">
        <v>326</v>
      </c>
      <c r="B190" s="84">
        <v>2.5</v>
      </c>
    </row>
    <row r="191" spans="1:2" x14ac:dyDescent="0.2">
      <c r="A191" s="84" t="s">
        <v>222</v>
      </c>
      <c r="B191" s="84">
        <v>2</v>
      </c>
    </row>
    <row r="192" spans="1:2" x14ac:dyDescent="0.2">
      <c r="A192" s="84" t="s">
        <v>69</v>
      </c>
      <c r="B192" s="84">
        <f>SUM(B186:B191)</f>
        <v>16</v>
      </c>
    </row>
    <row r="195" spans="1:2" x14ac:dyDescent="0.2">
      <c r="A195" s="356" t="s">
        <v>330</v>
      </c>
      <c r="B195" s="356">
        <v>40</v>
      </c>
    </row>
  </sheetData>
  <autoFilter ref="B1:B161" xr:uid="{B1C13C7A-EB02-4E84-B021-F7EF6D3C42CD}"/>
  <phoneticPr fontId="48" type="noConversion"/>
  <conditionalFormatting sqref="C6:T21 C4:T4 C23:AF58">
    <cfRule type="colorScale" priority="69">
      <colorScale>
        <cfvo type="num" val="0"/>
        <cfvo type="num" val="1"/>
        <color theme="0"/>
        <color theme="2" tint="-0.249977111117893"/>
      </colorScale>
    </cfRule>
  </conditionalFormatting>
  <conditionalFormatting sqref="U4:AD4 U6:AD21">
    <cfRule type="colorScale" priority="68">
      <colorScale>
        <cfvo type="num" val="0"/>
        <cfvo type="num" val="1"/>
        <color theme="0"/>
        <color theme="2" tint="-0.249977111117893"/>
      </colorScale>
    </cfRule>
  </conditionalFormatting>
  <conditionalFormatting sqref="AF6:AF21 AF4">
    <cfRule type="colorScale" priority="67">
      <colorScale>
        <cfvo type="num" val="0"/>
        <cfvo type="num" val="1"/>
        <color theme="0"/>
        <color theme="2" tint="-0.249977111117893"/>
      </colorScale>
    </cfRule>
  </conditionalFormatting>
  <conditionalFormatting sqref="AE6:AE21 AE4">
    <cfRule type="colorScale" priority="65">
      <colorScale>
        <cfvo type="num" val="0"/>
        <cfvo type="num" val="1"/>
        <color theme="0"/>
        <color theme="2" tint="-0.249977111117893"/>
      </colorScale>
    </cfRule>
  </conditionalFormatting>
  <conditionalFormatting sqref="C5:E5 I5:T5">
    <cfRule type="colorScale" priority="63">
      <colorScale>
        <cfvo type="num" val="0"/>
        <cfvo type="num" val="1"/>
        <color theme="0"/>
        <color theme="2" tint="-0.249977111117893"/>
      </colorScale>
    </cfRule>
  </conditionalFormatting>
  <conditionalFormatting sqref="U5:AD5">
    <cfRule type="colorScale" priority="62">
      <colorScale>
        <cfvo type="num" val="0"/>
        <cfvo type="num" val="1"/>
        <color theme="0"/>
        <color theme="2" tint="-0.249977111117893"/>
      </colorScale>
    </cfRule>
  </conditionalFormatting>
  <conditionalFormatting sqref="AF5">
    <cfRule type="colorScale" priority="61">
      <colorScale>
        <cfvo type="num" val="0"/>
        <cfvo type="num" val="1"/>
        <color theme="0"/>
        <color theme="2" tint="-0.249977111117893"/>
      </colorScale>
    </cfRule>
  </conditionalFormatting>
  <conditionalFormatting sqref="AE5">
    <cfRule type="colorScale" priority="59">
      <colorScale>
        <cfvo type="num" val="0"/>
        <cfvo type="num" val="1"/>
        <color theme="0"/>
        <color theme="2" tint="-0.249977111117893"/>
      </colorScale>
    </cfRule>
  </conditionalFormatting>
  <conditionalFormatting sqref="C22:E22 C61:T65 C59:E60 I61:W64 C111:T126 C66:H110">
    <cfRule type="colorScale" priority="57">
      <colorScale>
        <cfvo type="num" val="0"/>
        <cfvo type="num" val="1"/>
        <color theme="0"/>
        <color theme="2" tint="-0.249977111117893"/>
      </colorScale>
    </cfRule>
  </conditionalFormatting>
  <conditionalFormatting sqref="U61:AD65 U111:AD126 U67:AD105">
    <cfRule type="colorScale" priority="56">
      <colorScale>
        <cfvo type="num" val="0"/>
        <cfvo type="num" val="1"/>
        <color theme="0"/>
        <color theme="2" tint="-0.249977111117893"/>
      </colorScale>
    </cfRule>
  </conditionalFormatting>
  <conditionalFormatting sqref="AF61:AF65 AF111:AF126 AF67:AF105">
    <cfRule type="colorScale" priority="55">
      <colorScale>
        <cfvo type="num" val="0"/>
        <cfvo type="num" val="1"/>
        <color theme="0"/>
        <color theme="2" tint="-0.249977111117893"/>
      </colorScale>
    </cfRule>
  </conditionalFormatting>
  <conditionalFormatting sqref="AE61:AE65 AE111:AE126 AE67:AE105">
    <cfRule type="colorScale" priority="53">
      <colorScale>
        <cfvo type="num" val="0"/>
        <cfvo type="num" val="1"/>
        <color theme="0"/>
        <color theme="2" tint="-0.249977111117893"/>
      </colorScale>
    </cfRule>
  </conditionalFormatting>
  <conditionalFormatting sqref="I22:W22">
    <cfRule type="colorScale" priority="39">
      <colorScale>
        <cfvo type="num" val="0"/>
        <cfvo type="num" val="1"/>
        <color theme="0"/>
        <color theme="2" tint="-0.249977111117893"/>
      </colorScale>
    </cfRule>
  </conditionalFormatting>
  <conditionalFormatting sqref="U22:AD22">
    <cfRule type="colorScale" priority="38">
      <colorScale>
        <cfvo type="num" val="0"/>
        <cfvo type="num" val="1"/>
        <color theme="0"/>
        <color theme="2" tint="-0.249977111117893"/>
      </colorScale>
    </cfRule>
  </conditionalFormatting>
  <conditionalFormatting sqref="AF22">
    <cfRule type="colorScale" priority="37">
      <colorScale>
        <cfvo type="num" val="0"/>
        <cfvo type="num" val="1"/>
        <color theme="0"/>
        <color theme="2" tint="-0.249977111117893"/>
      </colorScale>
    </cfRule>
  </conditionalFormatting>
  <conditionalFormatting sqref="AE22">
    <cfRule type="colorScale" priority="35">
      <colorScale>
        <cfvo type="num" val="0"/>
        <cfvo type="num" val="1"/>
        <color theme="0"/>
        <color theme="2" tint="-0.249977111117893"/>
      </colorScale>
    </cfRule>
  </conditionalFormatting>
  <conditionalFormatting sqref="I110:W110">
    <cfRule type="colorScale" priority="17">
      <colorScale>
        <cfvo type="num" val="0"/>
        <cfvo type="num" val="1"/>
        <color theme="0"/>
        <color theme="2" tint="-0.249977111117893"/>
      </colorScale>
    </cfRule>
  </conditionalFormatting>
  <conditionalFormatting sqref="U110:AD110">
    <cfRule type="colorScale" priority="16">
      <colorScale>
        <cfvo type="num" val="0"/>
        <cfvo type="num" val="1"/>
        <color theme="0"/>
        <color theme="2" tint="-0.249977111117893"/>
      </colorScale>
    </cfRule>
  </conditionalFormatting>
  <conditionalFormatting sqref="AF110">
    <cfRule type="colorScale" priority="15">
      <colorScale>
        <cfvo type="num" val="0"/>
        <cfvo type="num" val="1"/>
        <color theme="0"/>
        <color theme="2" tint="-0.249977111117893"/>
      </colorScale>
    </cfRule>
  </conditionalFormatting>
  <conditionalFormatting sqref="AE110">
    <cfRule type="colorScale" priority="13">
      <colorScale>
        <cfvo type="num" val="0"/>
        <cfvo type="num" val="1"/>
        <color theme="0"/>
        <color theme="2" tint="-0.249977111117893"/>
      </colorScale>
    </cfRule>
  </conditionalFormatting>
  <conditionalFormatting sqref="F59:W60">
    <cfRule type="colorScale" priority="27">
      <colorScale>
        <cfvo type="num" val="0"/>
        <cfvo type="num" val="1"/>
        <color theme="0"/>
        <color theme="2" tint="-0.249977111117893"/>
      </colorScale>
    </cfRule>
  </conditionalFormatting>
  <conditionalFormatting sqref="U59:AD60">
    <cfRule type="colorScale" priority="26">
      <colorScale>
        <cfvo type="num" val="0"/>
        <cfvo type="num" val="1"/>
        <color theme="0"/>
        <color theme="2" tint="-0.249977111117893"/>
      </colorScale>
    </cfRule>
  </conditionalFormatting>
  <conditionalFormatting sqref="AF59:AF60">
    <cfRule type="colorScale" priority="25">
      <colorScale>
        <cfvo type="num" val="0"/>
        <cfvo type="num" val="1"/>
        <color theme="0"/>
        <color theme="2" tint="-0.249977111117893"/>
      </colorScale>
    </cfRule>
  </conditionalFormatting>
  <conditionalFormatting sqref="AE59:AE60">
    <cfRule type="colorScale" priority="23">
      <colorScale>
        <cfvo type="num" val="0"/>
        <cfvo type="num" val="1"/>
        <color theme="0"/>
        <color theme="2" tint="-0.249977111117893"/>
      </colorScale>
    </cfRule>
  </conditionalFormatting>
  <conditionalFormatting sqref="F5:G5">
    <cfRule type="colorScale" priority="21">
      <colorScale>
        <cfvo type="num" val="0"/>
        <cfvo type="num" val="1"/>
        <color theme="0"/>
        <color theme="2" tint="-0.249977111117893"/>
      </colorScale>
    </cfRule>
  </conditionalFormatting>
  <conditionalFormatting sqref="F22:G22">
    <cfRule type="colorScale" priority="20">
      <colorScale>
        <cfvo type="num" val="0"/>
        <cfvo type="num" val="1"/>
        <color theme="0"/>
        <color theme="2" tint="-0.249977111117893"/>
      </colorScale>
    </cfRule>
  </conditionalFormatting>
  <conditionalFormatting sqref="H5">
    <cfRule type="colorScale" priority="19">
      <colorScale>
        <cfvo type="num" val="0"/>
        <cfvo type="num" val="1"/>
        <color theme="0"/>
        <color theme="2" tint="-0.249977111117893"/>
      </colorScale>
    </cfRule>
  </conditionalFormatting>
  <conditionalFormatting sqref="H22">
    <cfRule type="colorScale" priority="18">
      <colorScale>
        <cfvo type="num" val="0"/>
        <cfvo type="num" val="1"/>
        <color theme="0"/>
        <color theme="2" tint="-0.249977111117893"/>
      </colorScale>
    </cfRule>
  </conditionalFormatting>
  <conditionalFormatting sqref="I66:W66">
    <cfRule type="colorScale" priority="11">
      <colorScale>
        <cfvo type="num" val="0"/>
        <cfvo type="num" val="1"/>
        <color theme="0"/>
        <color theme="2" tint="-0.249977111117893"/>
      </colorScale>
    </cfRule>
  </conditionalFormatting>
  <conditionalFormatting sqref="U66:AD66">
    <cfRule type="colorScale" priority="10">
      <colorScale>
        <cfvo type="num" val="0"/>
        <cfvo type="num" val="1"/>
        <color theme="0"/>
        <color theme="2" tint="-0.249977111117893"/>
      </colorScale>
    </cfRule>
  </conditionalFormatting>
  <conditionalFormatting sqref="AF66">
    <cfRule type="colorScale" priority="9">
      <colorScale>
        <cfvo type="num" val="0"/>
        <cfvo type="num" val="1"/>
        <color theme="0"/>
        <color theme="2" tint="-0.249977111117893"/>
      </colorScale>
    </cfRule>
  </conditionalFormatting>
  <conditionalFormatting sqref="AE66">
    <cfRule type="colorScale" priority="8">
      <colorScale>
        <cfvo type="num" val="0"/>
        <cfvo type="num" val="1"/>
        <color theme="0"/>
        <color theme="2" tint="-0.249977111117893"/>
      </colorScale>
    </cfRule>
  </conditionalFormatting>
  <conditionalFormatting sqref="I67:T102">
    <cfRule type="colorScale" priority="7">
      <colorScale>
        <cfvo type="num" val="0"/>
        <cfvo type="num" val="1"/>
        <color theme="0"/>
        <color theme="2" tint="-0.249977111117893"/>
      </colorScale>
    </cfRule>
  </conditionalFormatting>
  <conditionalFormatting sqref="I105:T109">
    <cfRule type="colorScale" priority="6">
      <colorScale>
        <cfvo type="num" val="0"/>
        <cfvo type="num" val="1"/>
        <color theme="0"/>
        <color theme="2" tint="-0.249977111117893"/>
      </colorScale>
    </cfRule>
  </conditionalFormatting>
  <conditionalFormatting sqref="I103:T104">
    <cfRule type="colorScale" priority="5">
      <colorScale>
        <cfvo type="num" val="0"/>
        <cfvo type="num" val="1"/>
        <color theme="0"/>
        <color theme="2" tint="-0.249977111117893"/>
      </colorScale>
    </cfRule>
  </conditionalFormatting>
  <conditionalFormatting sqref="U106:W108">
    <cfRule type="colorScale" priority="4">
      <colorScale>
        <cfvo type="num" val="0"/>
        <cfvo type="num" val="1"/>
        <color theme="0"/>
        <color theme="2" tint="-0.249977111117893"/>
      </colorScale>
    </cfRule>
  </conditionalFormatting>
  <conditionalFormatting sqref="U106:AD109">
    <cfRule type="colorScale" priority="3">
      <colorScale>
        <cfvo type="num" val="0"/>
        <cfvo type="num" val="1"/>
        <color theme="0"/>
        <color theme="2" tint="-0.249977111117893"/>
      </colorScale>
    </cfRule>
  </conditionalFormatting>
  <conditionalFormatting sqref="AF106:AF109">
    <cfRule type="colorScale" priority="2">
      <colorScale>
        <cfvo type="num" val="0"/>
        <cfvo type="num" val="1"/>
        <color theme="0"/>
        <color theme="2" tint="-0.249977111117893"/>
      </colorScale>
    </cfRule>
  </conditionalFormatting>
  <conditionalFormatting sqref="AE106:AE109">
    <cfRule type="colorScale" priority="1">
      <colorScale>
        <cfvo type="num" val="0"/>
        <cfvo type="num" val="1"/>
        <color theme="0"/>
        <color theme="2" tint="-0.249977111117893"/>
      </colorScale>
    </cfRule>
  </conditionalFormatting>
  <hyperlinks>
    <hyperlink ref="A144" r:id="rId1" xr:uid="{443CD37A-ECD1-462D-8C23-0C55D95763CD}"/>
  </hyperlinks>
  <pageMargins left="0.7" right="0.7" top="0.75" bottom="0.75" header="0.3" footer="0.3"/>
  <pageSetup paperSize="9" scale="38" orientation="portrait" r:id="rId2"/>
  <ignoredErrors>
    <ignoredError sqref="AL9 AL114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5</vt:i4>
      </vt:variant>
    </vt:vector>
  </HeadingPairs>
  <TitlesOfParts>
    <vt:vector size="18" baseType="lpstr">
      <vt:lpstr>Úvod</vt:lpstr>
      <vt:lpstr>Zoznam hárkov</vt:lpstr>
      <vt:lpstr>Sumarizácia</vt:lpstr>
      <vt:lpstr>TCO</vt:lpstr>
      <vt:lpstr>TCO AS IS - SW</vt:lpstr>
      <vt:lpstr>TCO AS IS - HW</vt:lpstr>
      <vt:lpstr>TCO TO BE- SW</vt:lpstr>
      <vt:lpstr>TCO TO BE - HW</vt:lpstr>
      <vt:lpstr>Rozpočet - vývoj Aplikácií</vt:lpstr>
      <vt:lpstr>Príloha limity</vt:lpstr>
      <vt:lpstr>Nepriame výdavky</vt:lpstr>
      <vt:lpstr>Rozpočet - HW a licencie</vt:lpstr>
      <vt:lpstr>Prieskum trhu - komerčný cloud</vt:lpstr>
      <vt:lpstr>'Rozpočet - HW a licencie'!Oblasť_tlače</vt:lpstr>
      <vt:lpstr>'Rozpočet - vývoj Aplikácií'!Oblasť_tlače</vt:lpstr>
      <vt:lpstr>TCO!Oblasť_tlače</vt:lpstr>
      <vt:lpstr>'TCO TO BE - HW'!Oblasť_tlače</vt:lpstr>
      <vt:lpstr>'TCO TO BE- SW'!Oblasť_tlače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prednosta</dc:creator>
  <cp:lastModifiedBy>prednosta</cp:lastModifiedBy>
  <cp:lastPrinted>2019-10-29T19:45:04Z</cp:lastPrinted>
  <dcterms:created xsi:type="dcterms:W3CDTF">2015-01-29T13:50:20Z</dcterms:created>
  <dcterms:modified xsi:type="dcterms:W3CDTF">2020-07-20T14:43:11Z</dcterms:modified>
</cp:coreProperties>
</file>